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Democratic Services\SCRUTINY (A&amp;VFM) COMMITTEE\2018\AGENDA 27 MARCH 2018\"/>
    </mc:Choice>
  </mc:AlternateContent>
  <bookViews>
    <workbookView xWindow="-15" yWindow="4260" windowWidth="12510" windowHeight="3495" tabRatio="774" activeTab="1"/>
  </bookViews>
  <sheets>
    <sheet name="INDEX" sheetId="8" r:id="rId1"/>
    <sheet name="1. ALL DATA" sheetId="1" r:id="rId2"/>
    <sheet name="2. STATUS TRACKING" sheetId="2" r:id="rId3"/>
    <sheet name="3. % BY PRIORITY" sheetId="4" r:id="rId4"/>
    <sheet name="4. CHARTS BY PRIORITY" sheetId="5" r:id="rId5"/>
    <sheet name="5. % BY PORTFOLIO" sheetId="22" state="hidden" r:id="rId6"/>
    <sheet name="6. CHARTS BY PORTFOLIO" sheetId="7" state="hidden" r:id="rId7"/>
    <sheet name="Q1. SUMMARY" sheetId="9" r:id="rId8"/>
    <sheet name="Q2. SUMMARY" sheetId="10" r:id="rId9"/>
    <sheet name="Q3. SUMMARY" sheetId="11" r:id="rId10"/>
    <sheet name="Q4. SUMMARY" sheetId="12" state="hidden" r:id="rId11"/>
    <sheet name="CUSTOM PIVOT" sheetId="23" r:id="rId12"/>
    <sheet name="Sheet1" sheetId="24" state="hidden" r:id="rId13"/>
  </sheets>
  <definedNames>
    <definedName name="_xlnm._FilterDatabase" localSheetId="1" hidden="1">'1. ALL DATA'!$A$3:$AB$123</definedName>
    <definedName name="_xlnm._FilterDatabase" localSheetId="2" hidden="1">'2. STATUS TRACKING'!$A$2:$J$122</definedName>
    <definedName name="_GoBack" localSheetId="1">'1. ALL DATA'!#REF!</definedName>
    <definedName name="ALL_TARGETS_Q1" localSheetId="5">'5. % BY PORTFOLIO'!#REF!</definedName>
    <definedName name="ALL_TARGETS_Q1">'3. % BY PRIORITY'!$B$3:$F$21</definedName>
    <definedName name="ALL_TARGETS_Q2" localSheetId="5">'5. % BY PORTFOLIO'!#REF!</definedName>
    <definedName name="ALL_TARGETS_Q2">'3. % BY PRIORITY'!$I$3:$N$21</definedName>
    <definedName name="ALL_TARGETS_Q3" localSheetId="5">'5. % BY PORTFOLIO'!#REF!</definedName>
    <definedName name="ALL_TARGETS_Q3">'3. % BY PRIORITY'!$P$3:$U$21</definedName>
    <definedName name="ALL_TARGETS_Q4" localSheetId="5">'5. % BY PORTFOLIO'!#REF!</definedName>
    <definedName name="ALL_TARGETS_Q4">'3. % BY PRIORITY'!$W$3:$AB$21</definedName>
    <definedName name="ALLQ1">'4. CHARTS BY PRIORITY'!$K$4:$R$20</definedName>
    <definedName name="ALLQ2">'4. CHARTS BY PRIORITY'!$T$4:$AA$20</definedName>
    <definedName name="ALLQ3">'4. CHARTS BY PRIORITY'!$AC$4:$AJ$20</definedName>
    <definedName name="ALLQ4">'4. CHARTS BY PRIORITY'!$AL$4:$AS$20</definedName>
    <definedName name="BE_Q1">#REF!</definedName>
    <definedName name="BE_Q2">#REF!</definedName>
    <definedName name="BE_Q3">#REF!</definedName>
    <definedName name="BE_Q4">#REF!</definedName>
    <definedName name="BECQ1">'6. CHARTS BY PORTFOLIO'!$K$4:$R$19</definedName>
    <definedName name="BECQ2">'6. CHARTS BY PORTFOLIO'!$T$4:$AA$19</definedName>
    <definedName name="BECQ3">'6. CHARTS BY PORTFOLIO'!$AC$4:$AJ$19</definedName>
    <definedName name="BECQ4">'6. CHARTS BY PORTFOLIO'!$AL$4:$AS$19</definedName>
    <definedName name="CS_Q1">#REF!</definedName>
    <definedName name="CS_Q2">#REF!</definedName>
    <definedName name="CS_Q3">#REF!</definedName>
    <definedName name="CS_Q4">#REF!</definedName>
    <definedName name="CSCQ1">'6. CHARTS BY PORTFOLIO'!$K$20:$R$35</definedName>
    <definedName name="CSCQ2">'6. CHARTS BY PORTFOLIO'!$T$20:$AA$35</definedName>
    <definedName name="CSCQ3">'6. CHARTS BY PORTFOLIO'!$AC$20:$AJ$35</definedName>
    <definedName name="CSCQ4">'6. CHARTS BY PORTFOLIO'!$AL$20:$AS$35</definedName>
    <definedName name="CULT1">'5. % BY PORTFOLIO'!$A$26:$F$44</definedName>
    <definedName name="CULT2">'5. % BY PORTFOLIO'!$H$26:$M$44</definedName>
    <definedName name="CULT3">'5. % BY PORTFOLIO'!$O$26:$T$44</definedName>
    <definedName name="CULT4">'5. % BY PORTFOLIO'!$V$26:$AA$44</definedName>
    <definedName name="CULTUR0">'6. CHARTS BY PORTFOLIO'!$A$21:$I$35</definedName>
    <definedName name="CULTUR1">'6. CHARTS BY PORTFOLIO'!$J$21:$R$35</definedName>
    <definedName name="CULTUR2">'6. CHARTS BY PORTFOLIO'!$S$21:$AA$35</definedName>
    <definedName name="CULTUR3">'6. CHARTS BY PORTFOLIO'!$AB$21:$AJ$35</definedName>
    <definedName name="CULTUR4">'6. CHARTS BY PORTFOLIO'!$AK$21:$AS$35</definedName>
    <definedName name="CustomPivot">'CUSTOM PIVOT'!$A$2</definedName>
    <definedName name="ELE_Q1" localSheetId="5">'5. % BY PORTFOLIO'!$A$48:$E$66</definedName>
    <definedName name="ELE_Q1">'3. % BY PRIORITY'!$B$47:$F$65</definedName>
    <definedName name="ELE_Q2" localSheetId="5">'5. % BY PORTFOLIO'!$H$48:$M$66</definedName>
    <definedName name="ELE_Q2">'3. % BY PRIORITY'!$I$47:$N$65</definedName>
    <definedName name="ELE_Q3" localSheetId="5">'5. % BY PORTFOLIO'!$O$48:$T$66</definedName>
    <definedName name="ELE_Q3">'3. % BY PRIORITY'!$P$47:$U$65</definedName>
    <definedName name="ELE_Q4" localSheetId="5">'5. % BY PORTFOLIO'!$V$48:$AA$65</definedName>
    <definedName name="ELE_Q4">'3. % BY PRIORITY'!$W$47:$AB$64</definedName>
    <definedName name="ELE_TARGETS" localSheetId="5">'1. ALL DATA'!#REF!</definedName>
    <definedName name="ELE_TARGETS">'1. ALL DATA'!#REF!</definedName>
    <definedName name="ELEQ1">'4. CHARTS BY PRIORITY'!$K$36:$R$51</definedName>
    <definedName name="ELEQ2">'4. CHARTS BY PRIORITY'!$T$36:$AA$51</definedName>
    <definedName name="ELEQ3">'4. CHARTS BY PRIORITY'!$AC$36:$AJ$51</definedName>
    <definedName name="ELEQ4">'4. CHARTS BY PRIORITY'!$AL$36:$AS$50</definedName>
    <definedName name="ELTB_Q1" localSheetId="5">'5. % BY PORTFOLIO'!$A$70:$E$88</definedName>
    <definedName name="ELTB_Q1">'3. % BY PRIORITY'!$B$69:$F$87</definedName>
    <definedName name="ELTB_Q2" localSheetId="5">'5. % BY PORTFOLIO'!$H$70:$M$88</definedName>
    <definedName name="ELTB_Q2">'3. % BY PRIORITY'!$I$69:$N$87</definedName>
    <definedName name="ELTB_Q3" localSheetId="5">'5. % BY PORTFOLIO'!$O$70:$T$88</definedName>
    <definedName name="ELTB_Q3">'3. % BY PRIORITY'!$P$69:$U$87</definedName>
    <definedName name="ELTB_Q4" localSheetId="5">'5. % BY PORTFOLIO'!$V$70:$AA$90</definedName>
    <definedName name="ELTB_Q4">'3. % BY PRIORITY'!$W$69:$AB$89</definedName>
    <definedName name="ELTB_TARGETS">'1. ALL DATA'!#REF!</definedName>
    <definedName name="ELTB_TARGETS2">'1. ALL DATA'!#REF!</definedName>
    <definedName name="ELTBQ1">'4. CHARTS BY PRIORITY'!$K$52:$R$67</definedName>
    <definedName name="ELTBQ2">'4. CHARTS BY PRIORITY'!$T$52:$AA$67</definedName>
    <definedName name="ELTBQ3">'4. CHARTS BY PRIORITY'!$AC$52:$AJ$67</definedName>
    <definedName name="ELTBQ4">'4. CHARTS BY PRIORITY'!$AL$52:$AS$67</definedName>
    <definedName name="ENT_1">'5. % BY PORTFOLIO'!$ENP$1</definedName>
    <definedName name="ENTER1">'5. % BY PORTFOLIO'!$A$48:$F$66</definedName>
    <definedName name="ENTER2">'5. % BY PORTFOLIO'!$H$48:$M$66</definedName>
    <definedName name="ENTER3">'5. % BY PORTFOLIO'!$O$48:$T$66</definedName>
    <definedName name="ENTER4">'5. % BY PORTFOLIO'!$V$48:$AA$66</definedName>
    <definedName name="ENTERP1">'6. CHARTS BY PORTFOLIO'!$J$37:$R$51</definedName>
    <definedName name="ENTERP2">'6. CHARTS BY PORTFOLIO'!$S$37:$AA$51</definedName>
    <definedName name="ENTERP3">'6. CHARTS BY PORTFOLIO'!$AB$37:$AJ$51</definedName>
    <definedName name="ENTERP4">'6. CHARTS BY PORTFOLIO'!$AK$37:$AS$51</definedName>
    <definedName name="FINANC0">'6. CHARTS BY PORTFOLIO'!$A$53:$I$67</definedName>
    <definedName name="FINANC1">'6. CHARTS BY PORTFOLIO'!$J$53:$R$67</definedName>
    <definedName name="FINANC2">'6. CHARTS BY PORTFOLIO'!$S$53:$AA$67</definedName>
    <definedName name="FINANC3">'6. CHARTS BY PORTFOLIO'!$AB$53:$AJ$67</definedName>
    <definedName name="FINANC4">'6. CHARTS BY PORTFOLIO'!$AK$53:$AS$67</definedName>
    <definedName name="FINANCE1">'5. % BY PORTFOLIO'!$A$70:$F$88</definedName>
    <definedName name="FINANCE2">'5. % BY PORTFOLIO'!$H$70:$M$88</definedName>
    <definedName name="FINANCE3">'5. % BY PORTFOLIO'!$O$70:$T$88</definedName>
    <definedName name="FINANCE4">'5. % BY PORTFOLIO'!$V$70:$AA$88</definedName>
    <definedName name="LEADER0">'6. CHARTS BY PORTFOLIO'!$A$5:$I$19</definedName>
    <definedName name="LEADER1">'6. CHARTS BY PORTFOLIO'!$J$5:$R$19</definedName>
    <definedName name="LEADER2">'6. CHARTS BY PORTFOLIO'!$S$5:$AA$19</definedName>
    <definedName name="LEADER3">'6. CHARTS BY PORTFOLIO'!$AB$5:$AI$19</definedName>
    <definedName name="LEADER4">'6. CHARTS BY PORTFOLIO'!$AK$5:$AS$19</definedName>
    <definedName name="LEADERQ1">#REF!</definedName>
    <definedName name="OLE_LINK3" localSheetId="1">'1. ALL DATA'!$C$112</definedName>
    <definedName name="PARTC1">'6. CHARTS BY PORTFOLIO'!$K$68:$R$83</definedName>
    <definedName name="PARTC2">'6. CHARTS BY PORTFOLIO'!$T$68:$AA$83</definedName>
    <definedName name="PARTC3">'6. CHARTS BY PORTFOLIO'!$AC$68:$AJ$83</definedName>
    <definedName name="PARTC4">'6. CHARTS BY PORTFOLIO'!$AL$68:$AS$83</definedName>
    <definedName name="PARTQ1">#REF!</definedName>
    <definedName name="PARTQ2">#REF!</definedName>
    <definedName name="PARTQ3">#REF!</definedName>
    <definedName name="PARTQ4">#REF!</definedName>
    <definedName name="PLAN1">'5. % BY PORTFOLIO'!$A$92:$F$110</definedName>
    <definedName name="PLAN2">'5. % BY PORTFOLIO'!$H$92:$M$110</definedName>
    <definedName name="PLAN3">'5. % BY PORTFOLIO'!$O$92:$T$110</definedName>
    <definedName name="PLAN4">'5. % BY PORTFOLIO'!$V$92:$AA$110</definedName>
    <definedName name="PLANNING0">'6. CHARTS BY PORTFOLIO'!$A$69:$I$83</definedName>
    <definedName name="PLANNING1">'6. CHARTS BY PORTFOLIO'!$J$69:$R$83</definedName>
    <definedName name="PLANNING2">'6. CHARTS BY PORTFOLIO'!$S$69:$AA$83</definedName>
    <definedName name="PLANNING3">'6. CHARTS BY PORTFOLIO'!$AB$69:$AJ$83</definedName>
    <definedName name="PLANNING4">'6. CHARTS BY PORTFOLIO'!$AK$69:$AS$83</definedName>
    <definedName name="PLEG_1617">'1. ALL DATA'!$A$65</definedName>
    <definedName name="_xlnm.Print_Area" localSheetId="1">'1. ALL DATA'!$A$1:$AB$41</definedName>
    <definedName name="_xlnm.Print_Titles" localSheetId="1">'1. ALL DATA'!$3:$3</definedName>
    <definedName name="PSC_1617">'1. ALL DATA'!$A$88</definedName>
    <definedName name="PWBQ1">'3. % BY PRIORITY'!$B$69:$G$87</definedName>
    <definedName name="Q1_Leader">'5. % BY PORTFOLIO'!$A$2:$F$21</definedName>
    <definedName name="Q2_Leader">'5. % BY PORTFOLIO'!$H$3:$M$21</definedName>
    <definedName name="Q3LEADER">'5. % BY PORTFOLIO'!$O$1:$T$21</definedName>
    <definedName name="Q4_Leader">'5. % BY PORTFOLIO'!$V$1:$AA$21</definedName>
    <definedName name="RBV_Q1" localSheetId="5">'5. % BY PORTFOLIO'!$A$26:$E$44</definedName>
    <definedName name="RBV_Q1">'3. % BY PRIORITY'!$B$25:$F$43</definedName>
    <definedName name="RBV_Q2" localSheetId="5">'5. % BY PORTFOLIO'!$H$26:$M$44</definedName>
    <definedName name="RBV_Q2">'3. % BY PRIORITY'!$I$25:$N$43</definedName>
    <definedName name="RBV_Q3" localSheetId="5">'5. % BY PORTFOLIO'!$O$26:$T$44</definedName>
    <definedName name="RBV_Q3">'3. % BY PRIORITY'!$P$25:$U$43</definedName>
    <definedName name="RBV_Q4" localSheetId="5">'5. % BY PORTFOLIO'!$V$26:$AA$44</definedName>
    <definedName name="RBV_Q4">'3. % BY PRIORITY'!$W$25:$AB$43</definedName>
    <definedName name="RBV_TARGETS">'1. ALL DATA'!#REF!</definedName>
    <definedName name="RBVQ1">'4. CHARTS BY PRIORITY'!$K$20:$R$35</definedName>
    <definedName name="RBVQ2">'4. CHARTS BY PRIORITY'!$T$20:$AA$35</definedName>
    <definedName name="RBVQ3">'4. CHARTS BY PRIORITY'!$AC$20:$AJ$35</definedName>
    <definedName name="RBVQ4">'4. CHARTS BY PRIORITY'!$AL$20:$AS$34</definedName>
    <definedName name="REGUL1">'5. % BY PORTFOLIO'!$A$114:$F$132</definedName>
    <definedName name="REGUL2">'5. % BY PORTFOLIO'!$H$114:$M$132</definedName>
    <definedName name="REGUL3">'5. % BY PORTFOLIO'!$O$114:$T$132</definedName>
    <definedName name="REGUL4">'5. % BY PORTFOLIO'!$V$114:$AA$132</definedName>
    <definedName name="REGULATE1">'6. CHARTS BY PORTFOLIO'!$J$85:$R$99</definedName>
    <definedName name="REGULATE2">'6. CHARTS BY PORTFOLIO'!$S$85:$AA$99</definedName>
    <definedName name="REGULATE3">'6. CHARTS BY PORTFOLIO'!$AB$85:$AJ$99</definedName>
    <definedName name="REGULATE4">'6. CHARTS BY PORTFOLIO'!$AK$85:$AS$99</definedName>
    <definedName name="RS_Q1">#REF!</definedName>
    <definedName name="RS_Q2">#REF!</definedName>
    <definedName name="RS_Q3">#REF!</definedName>
    <definedName name="RS_Q4">#REF!</definedName>
    <definedName name="RSCQ1">'6. CHARTS BY PORTFOLIO'!$K$36:$R$51</definedName>
    <definedName name="RSCQ2">'6. CHARTS BY PORTFOLIO'!$T$36:$AA$51</definedName>
    <definedName name="RSCQ3">'6. CHARTS BY PORTFOLIO'!$AC$36:$AJ$51</definedName>
    <definedName name="RSCQ4">'6. CHARTS BY PORTFOLIO'!$AL$36:$AS$51</definedName>
    <definedName name="SC_Q1">#REF!</definedName>
    <definedName name="SC_Q2">#REF!</definedName>
    <definedName name="SC_Q3">#REF!</definedName>
    <definedName name="SC_Q4">#REF!</definedName>
    <definedName name="SCCQ1">'6. CHARTS BY PORTFOLIO'!$K$52:$R$67</definedName>
    <definedName name="SCCQ2">'6. CHARTS BY PORTFOLIO'!$T$52:$AA$67</definedName>
    <definedName name="SCCQ3">'6. CHARTS BY PORTFOLIO'!$AC$52:$AJ$67</definedName>
    <definedName name="SCCQ4">'6. CHARTS BY PORTFOLIO'!$AL$52:$AS$67</definedName>
    <definedName name="TCN_C_O">'6. CHARTS BY PORTFOLIO'!$A$101:$I$115</definedName>
    <definedName name="TCN_C_Q1">'6. CHARTS BY PORTFOLIO'!$A$101:$I$115</definedName>
    <definedName name="TCN_C_Q2">'6. CHARTS BY PORTFOLIO'!$J$101:$R$115</definedName>
    <definedName name="TCN_C_Q3">'6. CHARTS BY PORTFOLIO'!$S$101:$AA$115</definedName>
    <definedName name="TCN_C_Q4">'6. CHARTS BY PORTFOLIO'!$AK$101:$AS$115</definedName>
    <definedName name="TCN_C_Q5">'6. CHARTS BY PORTFOLIO'!$AB$101:$AJ$115</definedName>
    <definedName name="TCN_T_Q1">'5. % BY PORTFOLIO'!$A$136:$F$156</definedName>
    <definedName name="TCN_T_Q2">'5. % BY PORTFOLIO'!$H$136:$M$155</definedName>
    <definedName name="TCN_T_Q3">'5. % BY PORTFOLIO'!$O$136:$T$156</definedName>
    <definedName name="TCN_T_Q4">'5. % BY PORTFOLIO'!$V$136:$AA$155</definedName>
    <definedName name="VFM_1617">'1. ALL DATA'!$A$5</definedName>
  </definedNames>
  <calcPr calcId="152511"/>
  <pivotCaches>
    <pivotCache cacheId="0" r:id="rId14"/>
  </pivotCaches>
</workbook>
</file>

<file path=xl/calcChain.xml><?xml version="1.0" encoding="utf-8"?>
<calcChain xmlns="http://schemas.openxmlformats.org/spreadsheetml/2006/main">
  <c r="J5" i="2" l="1"/>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4" i="2"/>
  <c r="J65" i="2"/>
  <c r="J66" i="2"/>
  <c r="J67" i="2"/>
  <c r="J68" i="2"/>
  <c r="J69" i="2"/>
  <c r="J70" i="2"/>
  <c r="J71" i="2"/>
  <c r="J72" i="2"/>
  <c r="J73" i="2"/>
  <c r="J74" i="2"/>
  <c r="J75" i="2"/>
  <c r="J76" i="2"/>
  <c r="J77" i="2"/>
  <c r="J78" i="2"/>
  <c r="J79" i="2"/>
  <c r="J80" i="2"/>
  <c r="J81" i="2"/>
  <c r="J82" i="2"/>
  <c r="J83" i="2"/>
  <c r="J84" i="2"/>
  <c r="J85"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4" i="2"/>
  <c r="H65" i="2"/>
  <c r="H66" i="2"/>
  <c r="H67" i="2"/>
  <c r="H68" i="2"/>
  <c r="H69" i="2"/>
  <c r="H70" i="2"/>
  <c r="H71" i="2"/>
  <c r="H72" i="2"/>
  <c r="H73" i="2"/>
  <c r="H74" i="2"/>
  <c r="H75" i="2"/>
  <c r="H76" i="2"/>
  <c r="H77" i="2"/>
  <c r="H78" i="2"/>
  <c r="H79" i="2"/>
  <c r="H80" i="2"/>
  <c r="H81" i="2"/>
  <c r="H82" i="2"/>
  <c r="H83" i="2"/>
  <c r="H84" i="2"/>
  <c r="H85"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4" i="2"/>
  <c r="F65" i="2"/>
  <c r="F66" i="2"/>
  <c r="F67" i="2"/>
  <c r="F68" i="2"/>
  <c r="F69" i="2"/>
  <c r="F70" i="2"/>
  <c r="F71" i="2"/>
  <c r="F72" i="2"/>
  <c r="F73" i="2"/>
  <c r="F74" i="2"/>
  <c r="F75" i="2"/>
  <c r="F76" i="2"/>
  <c r="F77" i="2"/>
  <c r="F78" i="2"/>
  <c r="F79" i="2"/>
  <c r="F80" i="2"/>
  <c r="F81" i="2"/>
  <c r="F82" i="2"/>
  <c r="F83" i="2"/>
  <c r="F84" i="2"/>
  <c r="F85"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4" i="2"/>
  <c r="D65" i="2"/>
  <c r="D66" i="2"/>
  <c r="D67" i="2"/>
  <c r="D68" i="2"/>
  <c r="D69" i="2"/>
  <c r="D70" i="2"/>
  <c r="D71" i="2"/>
  <c r="D72" i="2"/>
  <c r="D73" i="2"/>
  <c r="D74" i="2"/>
  <c r="D75" i="2"/>
  <c r="D76" i="2"/>
  <c r="D77" i="2"/>
  <c r="D78" i="2"/>
  <c r="D79" i="2"/>
  <c r="D80" i="2"/>
  <c r="D81" i="2"/>
  <c r="D82" i="2"/>
  <c r="D83" i="2"/>
  <c r="D84" i="2"/>
  <c r="D85"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4" i="2"/>
  <c r="C65" i="2"/>
  <c r="C66" i="2"/>
  <c r="C67" i="2"/>
  <c r="C68" i="2"/>
  <c r="C69" i="2"/>
  <c r="C70" i="2"/>
  <c r="C71" i="2"/>
  <c r="C72" i="2"/>
  <c r="C73" i="2"/>
  <c r="C74" i="2"/>
  <c r="C75" i="2"/>
  <c r="C76" i="2"/>
  <c r="C77" i="2"/>
  <c r="C78" i="2"/>
  <c r="C79" i="2"/>
  <c r="C80" i="2"/>
  <c r="C81" i="2"/>
  <c r="C82" i="2"/>
  <c r="C83" i="2"/>
  <c r="C84" i="2"/>
  <c r="C85"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4" i="2"/>
  <c r="B65" i="2"/>
  <c r="B66" i="2"/>
  <c r="B67" i="2"/>
  <c r="B68" i="2"/>
  <c r="B69" i="2"/>
  <c r="B70" i="2"/>
  <c r="B71" i="2"/>
  <c r="B72" i="2"/>
  <c r="B73" i="2"/>
  <c r="B74" i="2"/>
  <c r="B75" i="2"/>
  <c r="B76" i="2"/>
  <c r="B77" i="2"/>
  <c r="B78" i="2"/>
  <c r="B79" i="2"/>
  <c r="B80" i="2"/>
  <c r="B81" i="2"/>
  <c r="B82" i="2"/>
  <c r="B83" i="2"/>
  <c r="B84" i="2"/>
  <c r="B85"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4" i="2"/>
  <c r="C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D12" i="22"/>
  <c r="W152" i="22"/>
  <c r="P152" i="22"/>
  <c r="I152" i="22"/>
  <c r="B152" i="22"/>
  <c r="W151" i="22"/>
  <c r="P151" i="22"/>
  <c r="I151" i="22"/>
  <c r="B151" i="22"/>
  <c r="W150" i="22"/>
  <c r="P150" i="22"/>
  <c r="I150" i="22"/>
  <c r="B150" i="22"/>
  <c r="W149" i="22"/>
  <c r="P149" i="22"/>
  <c r="I149" i="22"/>
  <c r="B149" i="22"/>
  <c r="W147" i="22"/>
  <c r="P147" i="22"/>
  <c r="I147" i="22"/>
  <c r="B147" i="22"/>
  <c r="W146" i="22"/>
  <c r="G17" i="12" s="1"/>
  <c r="P146" i="22"/>
  <c r="I146" i="22"/>
  <c r="B146" i="22"/>
  <c r="G17" i="9" s="1"/>
  <c r="W144" i="22"/>
  <c r="W143" i="22"/>
  <c r="W142" i="22"/>
  <c r="P142" i="22"/>
  <c r="E17" i="11" s="1"/>
  <c r="I142" i="22"/>
  <c r="E17" i="10" s="1"/>
  <c r="B142" i="22"/>
  <c r="E17" i="9" s="1"/>
  <c r="W140" i="22"/>
  <c r="P140" i="22"/>
  <c r="I140" i="22"/>
  <c r="B140" i="22"/>
  <c r="W139" i="22"/>
  <c r="P139" i="22"/>
  <c r="I139" i="22"/>
  <c r="B139" i="22"/>
  <c r="W108" i="22"/>
  <c r="P108" i="22"/>
  <c r="I108" i="22"/>
  <c r="B108" i="22"/>
  <c r="W107" i="22"/>
  <c r="P107" i="22"/>
  <c r="I107" i="22"/>
  <c r="B107" i="22"/>
  <c r="W106" i="22"/>
  <c r="P106" i="22"/>
  <c r="I106" i="22"/>
  <c r="B106" i="22"/>
  <c r="W105" i="22"/>
  <c r="P105" i="22"/>
  <c r="I105" i="22"/>
  <c r="B105" i="22"/>
  <c r="W103" i="22"/>
  <c r="P103" i="22"/>
  <c r="I103" i="22"/>
  <c r="B103" i="22"/>
  <c r="W102" i="22"/>
  <c r="P102" i="22"/>
  <c r="I102" i="22"/>
  <c r="G15" i="10" s="1"/>
  <c r="B102" i="22"/>
  <c r="W100" i="22"/>
  <c r="W99" i="22"/>
  <c r="W98" i="22"/>
  <c r="P98" i="22"/>
  <c r="I98" i="22"/>
  <c r="E15" i="10" s="1"/>
  <c r="B98" i="22"/>
  <c r="W96" i="22"/>
  <c r="P96" i="22"/>
  <c r="I96" i="22"/>
  <c r="B96" i="22"/>
  <c r="W95" i="22"/>
  <c r="P95" i="22"/>
  <c r="I95" i="22"/>
  <c r="B95" i="22"/>
  <c r="C15" i="9" s="1"/>
  <c r="W86" i="22"/>
  <c r="P86" i="22"/>
  <c r="I86" i="22"/>
  <c r="B86" i="22"/>
  <c r="W85" i="22"/>
  <c r="P85" i="22"/>
  <c r="I85" i="22"/>
  <c r="B85" i="22"/>
  <c r="W84" i="22"/>
  <c r="P84" i="22"/>
  <c r="I84" i="22"/>
  <c r="B84" i="22"/>
  <c r="W83" i="22"/>
  <c r="P83" i="22"/>
  <c r="I83" i="22"/>
  <c r="B83" i="22"/>
  <c r="W81" i="22"/>
  <c r="P81" i="22"/>
  <c r="I81" i="22"/>
  <c r="B81" i="22"/>
  <c r="W80" i="22"/>
  <c r="P80" i="22"/>
  <c r="I80" i="22"/>
  <c r="B80" i="22"/>
  <c r="W78" i="22"/>
  <c r="W77" i="22"/>
  <c r="W76" i="22"/>
  <c r="P76" i="22"/>
  <c r="E14" i="11" s="1"/>
  <c r="I76" i="22"/>
  <c r="E14" i="10" s="1"/>
  <c r="B76" i="22"/>
  <c r="E14" i="9" s="1"/>
  <c r="W74" i="22"/>
  <c r="P74" i="22"/>
  <c r="I74" i="22"/>
  <c r="B74" i="22"/>
  <c r="W73" i="22"/>
  <c r="P73" i="22"/>
  <c r="C14" i="11" s="1"/>
  <c r="I73" i="22"/>
  <c r="B73" i="22"/>
  <c r="C14" i="9" s="1"/>
  <c r="W64" i="22"/>
  <c r="P64" i="22"/>
  <c r="I64" i="22"/>
  <c r="B64" i="22"/>
  <c r="W63" i="22"/>
  <c r="P63" i="22"/>
  <c r="I63" i="22"/>
  <c r="B63" i="22"/>
  <c r="W62" i="22"/>
  <c r="P62" i="22"/>
  <c r="I62" i="22"/>
  <c r="B62" i="22"/>
  <c r="W61" i="22"/>
  <c r="P61" i="22"/>
  <c r="I61" i="22"/>
  <c r="B61" i="22"/>
  <c r="W59" i="22"/>
  <c r="P59" i="22"/>
  <c r="I59" i="22"/>
  <c r="B59" i="22"/>
  <c r="W58" i="22"/>
  <c r="P58" i="22"/>
  <c r="G13" i="11" s="1"/>
  <c r="I58" i="22"/>
  <c r="B58" i="22"/>
  <c r="W56" i="22"/>
  <c r="W55" i="22"/>
  <c r="W54" i="22"/>
  <c r="P54" i="22"/>
  <c r="E13" i="11" s="1"/>
  <c r="I54" i="22"/>
  <c r="E13" i="10" s="1"/>
  <c r="B54" i="22"/>
  <c r="E13" i="9" s="1"/>
  <c r="W52" i="22"/>
  <c r="P52" i="22"/>
  <c r="I52" i="22"/>
  <c r="B52" i="22"/>
  <c r="W51" i="22"/>
  <c r="P51" i="22"/>
  <c r="I51" i="22"/>
  <c r="B51" i="22"/>
  <c r="C13" i="9" s="1"/>
  <c r="W130" i="22"/>
  <c r="P130" i="22"/>
  <c r="I130" i="22"/>
  <c r="B130" i="22"/>
  <c r="W129" i="22"/>
  <c r="P129" i="22"/>
  <c r="I129" i="22"/>
  <c r="B129" i="22"/>
  <c r="W128" i="22"/>
  <c r="P128" i="22"/>
  <c r="I128" i="22"/>
  <c r="B128" i="22"/>
  <c r="W127" i="22"/>
  <c r="P127" i="22"/>
  <c r="I127" i="22"/>
  <c r="B127" i="22"/>
  <c r="W125" i="22"/>
  <c r="P125" i="22"/>
  <c r="I125" i="22"/>
  <c r="B125" i="22"/>
  <c r="W124" i="22"/>
  <c r="G16" i="12" s="1"/>
  <c r="P124" i="22"/>
  <c r="I124" i="22"/>
  <c r="B124" i="22"/>
  <c r="W122" i="22"/>
  <c r="W121" i="22"/>
  <c r="W120" i="22"/>
  <c r="P120" i="22"/>
  <c r="E16" i="11" s="1"/>
  <c r="I120" i="22"/>
  <c r="E16" i="10" s="1"/>
  <c r="B120" i="22"/>
  <c r="E16" i="9" s="1"/>
  <c r="W118" i="22"/>
  <c r="P118" i="22"/>
  <c r="I118" i="22"/>
  <c r="B118" i="22"/>
  <c r="W117" i="22"/>
  <c r="P117" i="22"/>
  <c r="I117" i="22"/>
  <c r="B117" i="22"/>
  <c r="W42" i="22"/>
  <c r="P42" i="22"/>
  <c r="I42" i="22"/>
  <c r="B42" i="22"/>
  <c r="W41" i="22"/>
  <c r="P41" i="22"/>
  <c r="I41" i="22"/>
  <c r="B41" i="22"/>
  <c r="W40" i="22"/>
  <c r="P40" i="22"/>
  <c r="I40" i="22"/>
  <c r="B40" i="22"/>
  <c r="W39" i="22"/>
  <c r="P39" i="22"/>
  <c r="I39" i="22"/>
  <c r="B39" i="22"/>
  <c r="W37" i="22"/>
  <c r="P37" i="22"/>
  <c r="I37" i="22"/>
  <c r="B37" i="22"/>
  <c r="W36" i="22"/>
  <c r="P36" i="22"/>
  <c r="I36" i="22"/>
  <c r="B36" i="22"/>
  <c r="W34" i="22"/>
  <c r="W33" i="22"/>
  <c r="W32" i="22"/>
  <c r="P32" i="22"/>
  <c r="E12" i="11" s="1"/>
  <c r="I32" i="22"/>
  <c r="E12" i="10" s="1"/>
  <c r="B32" i="22"/>
  <c r="W30" i="22"/>
  <c r="P30" i="22"/>
  <c r="I30" i="22"/>
  <c r="B30" i="22"/>
  <c r="W29" i="22"/>
  <c r="P29" i="22"/>
  <c r="I29" i="22"/>
  <c r="B29" i="22"/>
  <c r="W19" i="22"/>
  <c r="P19" i="22"/>
  <c r="I19" i="22"/>
  <c r="B19" i="22"/>
  <c r="W18" i="22"/>
  <c r="P18" i="22"/>
  <c r="I18" i="22"/>
  <c r="B18" i="22"/>
  <c r="W17" i="22"/>
  <c r="P17" i="22"/>
  <c r="I17" i="22"/>
  <c r="B17" i="22"/>
  <c r="W16" i="22"/>
  <c r="P16" i="22"/>
  <c r="I16" i="22"/>
  <c r="B16" i="22"/>
  <c r="W14" i="22"/>
  <c r="P14" i="22"/>
  <c r="I14" i="22"/>
  <c r="B14" i="22"/>
  <c r="W13" i="22"/>
  <c r="G11" i="12" s="1"/>
  <c r="P13" i="22"/>
  <c r="I13" i="22"/>
  <c r="B13" i="22"/>
  <c r="G11" i="9" s="1"/>
  <c r="W11" i="22"/>
  <c r="W10" i="22"/>
  <c r="W9" i="22"/>
  <c r="P9" i="22"/>
  <c r="I9" i="22"/>
  <c r="E11" i="10" s="1"/>
  <c r="B9" i="22"/>
  <c r="W7" i="22"/>
  <c r="P7" i="22"/>
  <c r="I7" i="22"/>
  <c r="B7" i="22"/>
  <c r="W6" i="22"/>
  <c r="P6" i="22"/>
  <c r="I6" i="22"/>
  <c r="B6" i="22"/>
  <c r="X85" i="4"/>
  <c r="Q85" i="4"/>
  <c r="J85" i="4"/>
  <c r="C85" i="4"/>
  <c r="X84" i="4"/>
  <c r="Q84" i="4"/>
  <c r="J84" i="4"/>
  <c r="C84" i="4"/>
  <c r="X83" i="4"/>
  <c r="Q83" i="4"/>
  <c r="J83" i="4"/>
  <c r="C83" i="4"/>
  <c r="X82" i="4"/>
  <c r="Q82" i="4"/>
  <c r="J82" i="4"/>
  <c r="C82" i="4"/>
  <c r="X80" i="4"/>
  <c r="Q80" i="4"/>
  <c r="J80" i="4"/>
  <c r="C80" i="4"/>
  <c r="X79" i="4"/>
  <c r="Q79" i="4"/>
  <c r="J79" i="4"/>
  <c r="G9" i="10" s="1"/>
  <c r="C79" i="4"/>
  <c r="X77" i="4"/>
  <c r="X76" i="4"/>
  <c r="X75" i="4"/>
  <c r="Q75" i="4"/>
  <c r="E9" i="11" s="1"/>
  <c r="J75" i="4"/>
  <c r="C75" i="4"/>
  <c r="E9" i="9" s="1"/>
  <c r="X73" i="4"/>
  <c r="Q73" i="4"/>
  <c r="J73" i="4"/>
  <c r="C73" i="4"/>
  <c r="X72" i="4"/>
  <c r="C9" i="12" s="1"/>
  <c r="Q72" i="4"/>
  <c r="J72" i="4"/>
  <c r="C72" i="4"/>
  <c r="X63" i="4"/>
  <c r="Q63" i="4"/>
  <c r="J63" i="4"/>
  <c r="C63" i="4"/>
  <c r="X62" i="4"/>
  <c r="Q62" i="4"/>
  <c r="J62" i="4"/>
  <c r="C62" i="4"/>
  <c r="X61" i="4"/>
  <c r="Q61" i="4"/>
  <c r="J61" i="4"/>
  <c r="C61" i="4"/>
  <c r="X60" i="4"/>
  <c r="Q60" i="4"/>
  <c r="J60" i="4"/>
  <c r="C60" i="4"/>
  <c r="X58" i="4"/>
  <c r="Q58" i="4"/>
  <c r="J58" i="4"/>
  <c r="C58" i="4"/>
  <c r="X57" i="4"/>
  <c r="G8" i="12" s="1"/>
  <c r="Q57" i="4"/>
  <c r="J57" i="4"/>
  <c r="C57" i="4"/>
  <c r="X55" i="4"/>
  <c r="X54" i="4"/>
  <c r="X53" i="4"/>
  <c r="Q53" i="4"/>
  <c r="E8" i="11" s="1"/>
  <c r="J53" i="4"/>
  <c r="E8" i="10" s="1"/>
  <c r="C53" i="4"/>
  <c r="E8" i="9" s="1"/>
  <c r="X51" i="4"/>
  <c r="Q51" i="4"/>
  <c r="J51" i="4"/>
  <c r="C51" i="4"/>
  <c r="X50" i="4"/>
  <c r="Q50" i="4"/>
  <c r="J50" i="4"/>
  <c r="C8" i="10" s="1"/>
  <c r="C50" i="4"/>
  <c r="X41" i="4"/>
  <c r="Q41" i="4"/>
  <c r="J41" i="4"/>
  <c r="C41" i="4"/>
  <c r="X40" i="4"/>
  <c r="Q40" i="4"/>
  <c r="J40" i="4"/>
  <c r="C40" i="4"/>
  <c r="X39" i="4"/>
  <c r="Q39" i="4"/>
  <c r="J39" i="4"/>
  <c r="C39" i="4"/>
  <c r="X38" i="4"/>
  <c r="Q38" i="4"/>
  <c r="J38" i="4"/>
  <c r="C38" i="4"/>
  <c r="X36" i="4"/>
  <c r="Q36" i="4"/>
  <c r="J36" i="4"/>
  <c r="C36" i="4"/>
  <c r="X35" i="4"/>
  <c r="Q35" i="4"/>
  <c r="J35" i="4"/>
  <c r="C35" i="4"/>
  <c r="X33" i="4"/>
  <c r="X32" i="4"/>
  <c r="X31" i="4"/>
  <c r="Q31" i="4"/>
  <c r="J31" i="4"/>
  <c r="E7" i="10" s="1"/>
  <c r="C31" i="4"/>
  <c r="E7" i="9" s="1"/>
  <c r="X29" i="4"/>
  <c r="Q29" i="4"/>
  <c r="J29" i="4"/>
  <c r="C29" i="4"/>
  <c r="X28" i="4"/>
  <c r="Q28" i="4"/>
  <c r="J28" i="4"/>
  <c r="C28" i="4"/>
  <c r="X19" i="4"/>
  <c r="Q19" i="4"/>
  <c r="J19" i="4"/>
  <c r="X18" i="4"/>
  <c r="Q18" i="4"/>
  <c r="J18" i="4"/>
  <c r="X17" i="4"/>
  <c r="Q17" i="4"/>
  <c r="J17" i="4"/>
  <c r="X16" i="4"/>
  <c r="Q16" i="4"/>
  <c r="J16" i="4"/>
  <c r="X14" i="4"/>
  <c r="Q14" i="4"/>
  <c r="J14" i="4"/>
  <c r="X13" i="4"/>
  <c r="Q13" i="4"/>
  <c r="J13" i="4"/>
  <c r="X11" i="4"/>
  <c r="X10" i="4"/>
  <c r="X9" i="4"/>
  <c r="Q9" i="4"/>
  <c r="E5" i="11" s="1"/>
  <c r="J9" i="4"/>
  <c r="X7" i="4"/>
  <c r="Q7" i="4"/>
  <c r="J7" i="4"/>
  <c r="X6" i="4"/>
  <c r="Q6" i="4"/>
  <c r="J6" i="4"/>
  <c r="C19" i="4"/>
  <c r="C18" i="4"/>
  <c r="C17" i="4"/>
  <c r="C16" i="4"/>
  <c r="C14" i="4"/>
  <c r="C13" i="4"/>
  <c r="C9" i="4"/>
  <c r="E5" i="9" s="1"/>
  <c r="C7" i="4"/>
  <c r="C6" i="4"/>
  <c r="J4" i="2"/>
  <c r="H4" i="2"/>
  <c r="F4" i="2"/>
  <c r="D4" i="2"/>
  <c r="A4" i="2"/>
  <c r="G14" i="9"/>
  <c r="C15" i="12"/>
  <c r="C13" i="12" l="1"/>
  <c r="G9" i="12"/>
  <c r="G8" i="11"/>
  <c r="C8" i="9"/>
  <c r="C7" i="10"/>
  <c r="G7" i="12"/>
  <c r="C8" i="12"/>
  <c r="G11" i="10"/>
  <c r="G13" i="12"/>
  <c r="C14" i="12"/>
  <c r="G12" i="11"/>
  <c r="C12" i="12"/>
  <c r="C17" i="10"/>
  <c r="C11" i="11"/>
  <c r="G16" i="10"/>
  <c r="C9" i="11"/>
  <c r="C16" i="12"/>
  <c r="C13" i="10"/>
  <c r="G14" i="10"/>
  <c r="C13" i="11"/>
  <c r="C12" i="11"/>
  <c r="G12" i="12"/>
  <c r="C12" i="9"/>
  <c r="C16" i="11"/>
  <c r="G14" i="12"/>
  <c r="G12" i="9"/>
  <c r="C9" i="10"/>
  <c r="G17" i="11"/>
  <c r="C11" i="12"/>
  <c r="C17" i="12"/>
  <c r="G9" i="9"/>
  <c r="G5" i="9"/>
  <c r="W131" i="22"/>
  <c r="X144" i="22" s="1"/>
  <c r="E15" i="12"/>
  <c r="E5" i="12"/>
  <c r="B43" i="22"/>
  <c r="C41" i="22" s="1"/>
  <c r="D41" i="22" s="1"/>
  <c r="E16" i="12"/>
  <c r="G5" i="10"/>
  <c r="X86" i="4"/>
  <c r="Y75" i="4" s="1"/>
  <c r="G15" i="11"/>
  <c r="G7" i="10"/>
  <c r="B153" i="22"/>
  <c r="B154" i="22" s="1"/>
  <c r="E11" i="12"/>
  <c r="C7" i="12"/>
  <c r="X20" i="4"/>
  <c r="Y17" i="4" s="1"/>
  <c r="Z17" i="4" s="1"/>
  <c r="C17" i="9"/>
  <c r="J42" i="4"/>
  <c r="K39" i="4" s="1"/>
  <c r="L39" i="4" s="1"/>
  <c r="E12" i="9"/>
  <c r="W20" i="22"/>
  <c r="X9" i="22" s="1"/>
  <c r="C5" i="12"/>
  <c r="X42" i="4"/>
  <c r="Y41" i="4" s="1"/>
  <c r="Z41" i="4" s="1"/>
  <c r="B65" i="22"/>
  <c r="C61" i="22" s="1"/>
  <c r="D61" i="22" s="1"/>
  <c r="C15" i="11"/>
  <c r="G5" i="11"/>
  <c r="C5" i="11"/>
  <c r="P131" i="22"/>
  <c r="Q117" i="22" s="1"/>
  <c r="P65" i="22"/>
  <c r="Q62" i="22" s="1"/>
  <c r="R62" i="22" s="1"/>
  <c r="P43" i="22"/>
  <c r="Q40" i="22" s="1"/>
  <c r="R40" i="22" s="1"/>
  <c r="C7" i="11"/>
  <c r="Q64" i="4"/>
  <c r="R57" i="4" s="1"/>
  <c r="C5" i="10"/>
  <c r="G17" i="10"/>
  <c r="I153" i="22"/>
  <c r="J147" i="22" s="1"/>
  <c r="E7" i="12"/>
  <c r="Q20" i="4"/>
  <c r="R6" i="4" s="1"/>
  <c r="G13" i="9"/>
  <c r="J20" i="4"/>
  <c r="K14" i="4" s="1"/>
  <c r="G5" i="12"/>
  <c r="G16" i="11"/>
  <c r="G16" i="9"/>
  <c r="E8" i="12"/>
  <c r="X64" i="4"/>
  <c r="G11" i="11"/>
  <c r="W87" i="22"/>
  <c r="E14" i="12"/>
  <c r="G14" i="11"/>
  <c r="P87" i="22"/>
  <c r="Q86" i="22" s="1"/>
  <c r="R86" i="22" s="1"/>
  <c r="W153" i="22"/>
  <c r="W154" i="22" s="1"/>
  <c r="E17" i="12"/>
  <c r="C8" i="11"/>
  <c r="J64" i="4"/>
  <c r="G8" i="10"/>
  <c r="C86" i="4"/>
  <c r="C9" i="9"/>
  <c r="C12" i="10"/>
  <c r="I43" i="22"/>
  <c r="J41" i="22" s="1"/>
  <c r="K41" i="22" s="1"/>
  <c r="G12" i="10"/>
  <c r="C16" i="10"/>
  <c r="I131" i="22"/>
  <c r="C17" i="11"/>
  <c r="P153" i="22"/>
  <c r="Q139" i="22" s="1"/>
  <c r="G7" i="11"/>
  <c r="G8" i="9"/>
  <c r="C64" i="4"/>
  <c r="D60" i="4" s="1"/>
  <c r="E60" i="4" s="1"/>
  <c r="G9" i="11"/>
  <c r="Q86" i="4"/>
  <c r="R82" i="4" s="1"/>
  <c r="S82" i="4" s="1"/>
  <c r="E11" i="11"/>
  <c r="P20" i="22"/>
  <c r="Q17" i="22" s="1"/>
  <c r="R17" i="22" s="1"/>
  <c r="E12" i="12"/>
  <c r="W43" i="22"/>
  <c r="B87" i="22"/>
  <c r="C74" i="22" s="1"/>
  <c r="C15" i="10"/>
  <c r="I109" i="22"/>
  <c r="E9" i="10"/>
  <c r="J86" i="4"/>
  <c r="K75" i="4" s="1"/>
  <c r="L75" i="4" s="1"/>
  <c r="G13" i="10"/>
  <c r="E7" i="11"/>
  <c r="Q42" i="4"/>
  <c r="R36" i="4" s="1"/>
  <c r="E9" i="12"/>
  <c r="C14" i="10"/>
  <c r="I87" i="22"/>
  <c r="J73" i="22" s="1"/>
  <c r="G15" i="9"/>
  <c r="G15" i="12"/>
  <c r="W109" i="22"/>
  <c r="X106" i="22" s="1"/>
  <c r="Y106" i="22" s="1"/>
  <c r="G7" i="9"/>
  <c r="E13" i="12"/>
  <c r="W65" i="22"/>
  <c r="X55" i="22" s="1"/>
  <c r="E15" i="11"/>
  <c r="P109" i="22"/>
  <c r="Q98" i="22" s="1"/>
  <c r="R98" i="22" s="1"/>
  <c r="C42" i="4"/>
  <c r="D35" i="4" s="1"/>
  <c r="C7" i="9"/>
  <c r="B20" i="22"/>
  <c r="C11" i="9"/>
  <c r="E11" i="9"/>
  <c r="I65" i="22"/>
  <c r="J62" i="22" s="1"/>
  <c r="K62" i="22" s="1"/>
  <c r="C5" i="9"/>
  <c r="C20" i="4"/>
  <c r="E5" i="10"/>
  <c r="C11" i="10"/>
  <c r="I20" i="22"/>
  <c r="J6" i="22" s="1"/>
  <c r="B131" i="22"/>
  <c r="C16" i="9"/>
  <c r="E15" i="9"/>
  <c r="B109" i="22"/>
  <c r="C102" i="22" s="1"/>
  <c r="C36" i="22" l="1"/>
  <c r="C149" i="22"/>
  <c r="D149" i="22" s="1"/>
  <c r="Y16" i="4"/>
  <c r="Z16" i="4" s="1"/>
  <c r="X120" i="22"/>
  <c r="X142" i="22"/>
  <c r="X125" i="22"/>
  <c r="X124" i="22"/>
  <c r="X128" i="22"/>
  <c r="Y128" i="22" s="1"/>
  <c r="X122" i="22"/>
  <c r="X152" i="22"/>
  <c r="Y152" i="22" s="1"/>
  <c r="X140" i="22"/>
  <c r="X146" i="22"/>
  <c r="X127" i="22"/>
  <c r="Y127" i="22" s="1"/>
  <c r="X130" i="22"/>
  <c r="Y130" i="22" s="1"/>
  <c r="X149" i="22"/>
  <c r="Y149" i="22" s="1"/>
  <c r="X117" i="22"/>
  <c r="X143" i="22"/>
  <c r="X151" i="22"/>
  <c r="Y151" i="22" s="1"/>
  <c r="X121" i="22"/>
  <c r="X139" i="22"/>
  <c r="W132" i="22"/>
  <c r="Z142" i="22" s="1"/>
  <c r="AA142" i="22" s="1"/>
  <c r="F17" i="12" s="1"/>
  <c r="X118" i="22"/>
  <c r="X129" i="22"/>
  <c r="Y129" i="22" s="1"/>
  <c r="Y73" i="4"/>
  <c r="Y79" i="4"/>
  <c r="Y83" i="4"/>
  <c r="Z83" i="4" s="1"/>
  <c r="Y72" i="4"/>
  <c r="W21" i="22"/>
  <c r="Z9" i="22" s="1"/>
  <c r="AA9" i="22" s="1"/>
  <c r="Y84" i="4"/>
  <c r="Z84" i="4" s="1"/>
  <c r="C40" i="22"/>
  <c r="D40" i="22" s="1"/>
  <c r="K16" i="4"/>
  <c r="L16" i="4" s="1"/>
  <c r="C63" i="22"/>
  <c r="D63" i="22" s="1"/>
  <c r="X19" i="22"/>
  <c r="Y19" i="22" s="1"/>
  <c r="X13" i="22"/>
  <c r="K9" i="4"/>
  <c r="L9" i="4" s="1"/>
  <c r="Y10" i="4"/>
  <c r="C59" i="22"/>
  <c r="C42" i="22"/>
  <c r="D42" i="22" s="1"/>
  <c r="X10" i="22"/>
  <c r="X14" i="22"/>
  <c r="K19" i="4"/>
  <c r="L19" i="4" s="1"/>
  <c r="X6" i="22"/>
  <c r="C39" i="22"/>
  <c r="D39" i="22" s="1"/>
  <c r="K35" i="4"/>
  <c r="C29" i="22"/>
  <c r="K13" i="4"/>
  <c r="L13" i="4" s="1"/>
  <c r="B44" i="22"/>
  <c r="E37" i="22" s="1"/>
  <c r="C151" i="22"/>
  <c r="D151" i="22" s="1"/>
  <c r="C152" i="22"/>
  <c r="D152" i="22" s="1"/>
  <c r="C147" i="22"/>
  <c r="C139" i="22"/>
  <c r="C140" i="22"/>
  <c r="C150" i="22"/>
  <c r="D150" i="22" s="1"/>
  <c r="C142" i="22"/>
  <c r="D142" i="22" s="1"/>
  <c r="K40" i="4"/>
  <c r="L40" i="4" s="1"/>
  <c r="C37" i="22"/>
  <c r="C30" i="22"/>
  <c r="C32" i="22"/>
  <c r="D32" i="22" s="1"/>
  <c r="X150" i="22"/>
  <c r="Y150" i="22" s="1"/>
  <c r="X147" i="22"/>
  <c r="Y7" i="4"/>
  <c r="Y13" i="4"/>
  <c r="Y77" i="4"/>
  <c r="Y85" i="4"/>
  <c r="Z85" i="4" s="1"/>
  <c r="Y80" i="4"/>
  <c r="Z79" i="4" s="1"/>
  <c r="Y9" i="4"/>
  <c r="Y6" i="4"/>
  <c r="X21" i="4"/>
  <c r="AA9" i="4" s="1"/>
  <c r="AB9" i="4" s="1"/>
  <c r="Y11" i="4"/>
  <c r="Y76" i="4"/>
  <c r="Y82" i="4"/>
  <c r="Z82" i="4" s="1"/>
  <c r="X87" i="4"/>
  <c r="AA77" i="4" s="1"/>
  <c r="Y142" i="22"/>
  <c r="Y19" i="4"/>
  <c r="Z19" i="4" s="1"/>
  <c r="Y18" i="4"/>
  <c r="Z18" i="4" s="1"/>
  <c r="C146" i="22"/>
  <c r="Q41" i="22"/>
  <c r="R41" i="22" s="1"/>
  <c r="E140" i="22"/>
  <c r="E142" i="22"/>
  <c r="F142" i="22" s="1"/>
  <c r="K7" i="4"/>
  <c r="X17" i="22"/>
  <c r="Y17" i="22" s="1"/>
  <c r="K18" i="4"/>
  <c r="L18" i="4" s="1"/>
  <c r="K17" i="4"/>
  <c r="L17" i="4" s="1"/>
  <c r="K6" i="4"/>
  <c r="R62" i="4"/>
  <c r="S62" i="4" s="1"/>
  <c r="C62" i="22"/>
  <c r="D62" i="22" s="1"/>
  <c r="J21" i="4"/>
  <c r="M7" i="4" s="1"/>
  <c r="R53" i="4"/>
  <c r="S53" i="4" s="1"/>
  <c r="Y35" i="4"/>
  <c r="Y40" i="4"/>
  <c r="Z40" i="4" s="1"/>
  <c r="Y33" i="4"/>
  <c r="X43" i="4"/>
  <c r="Y36" i="4"/>
  <c r="Z35" i="4" s="1"/>
  <c r="Y32" i="4"/>
  <c r="Y31" i="4"/>
  <c r="Y38" i="4"/>
  <c r="Z38" i="4" s="1"/>
  <c r="D58" i="4"/>
  <c r="R58" i="4"/>
  <c r="S57" i="4" s="1"/>
  <c r="R61" i="4"/>
  <c r="S61" i="4" s="1"/>
  <c r="J43" i="4"/>
  <c r="M29" i="4" s="1"/>
  <c r="Q51" i="22"/>
  <c r="B66" i="22"/>
  <c r="C58" i="22"/>
  <c r="C52" i="22"/>
  <c r="C51" i="22"/>
  <c r="C64" i="22"/>
  <c r="D64" i="22" s="1"/>
  <c r="C54" i="22"/>
  <c r="D54" i="22" s="1"/>
  <c r="Y28" i="4"/>
  <c r="R50" i="4"/>
  <c r="Q65" i="4"/>
  <c r="T57" i="4" s="1"/>
  <c r="R60" i="4"/>
  <c r="S60" i="4" s="1"/>
  <c r="Y29" i="4"/>
  <c r="J152" i="22"/>
  <c r="K152" i="22" s="1"/>
  <c r="X18" i="22"/>
  <c r="Y18" i="22" s="1"/>
  <c r="X11" i="22"/>
  <c r="X16" i="22"/>
  <c r="Y16" i="22" s="1"/>
  <c r="Y14" i="4"/>
  <c r="E139" i="22"/>
  <c r="E147" i="22"/>
  <c r="E146" i="22"/>
  <c r="K38" i="4"/>
  <c r="L38" i="4" s="1"/>
  <c r="K31" i="4"/>
  <c r="L31" i="4" s="1"/>
  <c r="K36" i="4"/>
  <c r="K29" i="4"/>
  <c r="K28" i="4"/>
  <c r="R51" i="4"/>
  <c r="R63" i="4"/>
  <c r="S63" i="4" s="1"/>
  <c r="Y39" i="4"/>
  <c r="Z39" i="4" s="1"/>
  <c r="K41" i="4"/>
  <c r="L41" i="4" s="1"/>
  <c r="X7" i="22"/>
  <c r="Y6" i="22" s="1"/>
  <c r="Q21" i="4"/>
  <c r="T13" i="4" s="1"/>
  <c r="Q36" i="22"/>
  <c r="Q129" i="22"/>
  <c r="R129" i="22" s="1"/>
  <c r="Q84" i="22"/>
  <c r="R84" i="22" s="1"/>
  <c r="P132" i="22"/>
  <c r="S118" i="22" s="1"/>
  <c r="Q125" i="22"/>
  <c r="Q128" i="22"/>
  <c r="R128" i="22" s="1"/>
  <c r="Q63" i="22"/>
  <c r="R63" i="22" s="1"/>
  <c r="Q64" i="22"/>
  <c r="R64" i="22" s="1"/>
  <c r="Q124" i="22"/>
  <c r="Q118" i="22"/>
  <c r="R117" i="22" s="1"/>
  <c r="Q120" i="22"/>
  <c r="R120" i="22" s="1"/>
  <c r="Q130" i="22"/>
  <c r="R130" i="22" s="1"/>
  <c r="Q127" i="22"/>
  <c r="R127" i="22" s="1"/>
  <c r="Q37" i="22"/>
  <c r="Q32" i="22"/>
  <c r="R32" i="22" s="1"/>
  <c r="Q29" i="22"/>
  <c r="Q54" i="22"/>
  <c r="R54" i="22" s="1"/>
  <c r="Q52" i="22"/>
  <c r="Q30" i="22"/>
  <c r="Q42" i="22"/>
  <c r="R42" i="22" s="1"/>
  <c r="P66" i="22"/>
  <c r="Q58" i="22"/>
  <c r="Q59" i="22"/>
  <c r="Q61" i="22"/>
  <c r="R61" i="22" s="1"/>
  <c r="Q39" i="22"/>
  <c r="R39" i="22" s="1"/>
  <c r="P44" i="22"/>
  <c r="S32" i="22" s="1"/>
  <c r="T32" i="22" s="1"/>
  <c r="F12" i="11" s="1"/>
  <c r="Q83" i="22"/>
  <c r="R83" i="22" s="1"/>
  <c r="Q140" i="22"/>
  <c r="R139" i="22" s="1"/>
  <c r="R13" i="4"/>
  <c r="R31" i="4"/>
  <c r="S31" i="4" s="1"/>
  <c r="D62" i="4"/>
  <c r="E62" i="4" s="1"/>
  <c r="Q85" i="22"/>
  <c r="R85" i="22" s="1"/>
  <c r="R16" i="4"/>
  <c r="S16" i="4" s="1"/>
  <c r="R17" i="4"/>
  <c r="S17" i="4" s="1"/>
  <c r="R18" i="4"/>
  <c r="S18" i="4" s="1"/>
  <c r="R9" i="4"/>
  <c r="S9" i="4" s="1"/>
  <c r="R14" i="4"/>
  <c r="R7" i="4"/>
  <c r="S6" i="4" s="1"/>
  <c r="J150" i="22"/>
  <c r="K150" i="22" s="1"/>
  <c r="R19" i="4"/>
  <c r="S19" i="4" s="1"/>
  <c r="Q19" i="22"/>
  <c r="R19" i="22" s="1"/>
  <c r="R83" i="4"/>
  <c r="S83" i="4" s="1"/>
  <c r="J40" i="22"/>
  <c r="K40" i="22" s="1"/>
  <c r="Q81" i="22"/>
  <c r="J146" i="22"/>
  <c r="K146" i="22" s="1"/>
  <c r="J151" i="22"/>
  <c r="K151" i="22" s="1"/>
  <c r="Q9" i="22"/>
  <c r="R9" i="22" s="1"/>
  <c r="J140" i="22"/>
  <c r="I154" i="22"/>
  <c r="J139" i="22"/>
  <c r="J142" i="22"/>
  <c r="K142" i="22" s="1"/>
  <c r="J149" i="22"/>
  <c r="K149" i="22" s="1"/>
  <c r="C130" i="22"/>
  <c r="D130" i="22" s="1"/>
  <c r="C117" i="22"/>
  <c r="C125" i="22"/>
  <c r="C128" i="22"/>
  <c r="D128" i="22" s="1"/>
  <c r="B132" i="22"/>
  <c r="C127" i="22"/>
  <c r="D127" i="22" s="1"/>
  <c r="C118" i="22"/>
  <c r="C129" i="22"/>
  <c r="D129" i="22" s="1"/>
  <c r="C120" i="22"/>
  <c r="D120" i="22" s="1"/>
  <c r="C124" i="22"/>
  <c r="C6" i="22"/>
  <c r="C13" i="22"/>
  <c r="C17" i="22"/>
  <c r="D17" i="22" s="1"/>
  <c r="B21" i="22"/>
  <c r="C18" i="22"/>
  <c r="D18" i="22" s="1"/>
  <c r="C14" i="22"/>
  <c r="C19" i="22"/>
  <c r="D19" i="22" s="1"/>
  <c r="C16" i="22"/>
  <c r="D16" i="22" s="1"/>
  <c r="X105" i="22"/>
  <c r="Y105" i="22" s="1"/>
  <c r="I110" i="22"/>
  <c r="J106" i="22"/>
  <c r="K106" i="22" s="1"/>
  <c r="J103" i="22"/>
  <c r="J107" i="22"/>
  <c r="K107" i="22" s="1"/>
  <c r="J98" i="22"/>
  <c r="K98" i="22" s="1"/>
  <c r="J95" i="22"/>
  <c r="J108" i="22"/>
  <c r="K108" i="22" s="1"/>
  <c r="J105" i="22"/>
  <c r="K105" i="22" s="1"/>
  <c r="J102" i="22"/>
  <c r="X30" i="22"/>
  <c r="X39" i="22"/>
  <c r="Y39" i="22" s="1"/>
  <c r="X37" i="22"/>
  <c r="W44" i="22"/>
  <c r="X40" i="22"/>
  <c r="Y40" i="22" s="1"/>
  <c r="X32" i="22"/>
  <c r="X34" i="22"/>
  <c r="X29" i="22"/>
  <c r="X36" i="22"/>
  <c r="X41" i="22"/>
  <c r="Y41" i="22" s="1"/>
  <c r="X42" i="22"/>
  <c r="Y42" i="22" s="1"/>
  <c r="J125" i="22"/>
  <c r="J127" i="22"/>
  <c r="K127" i="22" s="1"/>
  <c r="J120" i="22"/>
  <c r="K120" i="22" s="1"/>
  <c r="J129" i="22"/>
  <c r="K129" i="22" s="1"/>
  <c r="J130" i="22"/>
  <c r="K130" i="22" s="1"/>
  <c r="I132" i="22"/>
  <c r="J124" i="22"/>
  <c r="J128" i="22"/>
  <c r="K128" i="22" s="1"/>
  <c r="J118" i="22"/>
  <c r="I44" i="22"/>
  <c r="J32" i="22"/>
  <c r="K32" i="22" s="1"/>
  <c r="J36" i="22"/>
  <c r="J37" i="22"/>
  <c r="D84" i="4"/>
  <c r="E84" i="4" s="1"/>
  <c r="D85" i="4"/>
  <c r="E85" i="4" s="1"/>
  <c r="D82" i="4"/>
  <c r="E82" i="4" s="1"/>
  <c r="C87" i="4"/>
  <c r="D79" i="4"/>
  <c r="D73" i="4"/>
  <c r="D83" i="4"/>
  <c r="E83" i="4" s="1"/>
  <c r="D80" i="4"/>
  <c r="D75" i="4"/>
  <c r="E75" i="4" s="1"/>
  <c r="K60" i="4"/>
  <c r="L60" i="4" s="1"/>
  <c r="K63" i="4"/>
  <c r="L63" i="4" s="1"/>
  <c r="K51" i="4"/>
  <c r="K62" i="4"/>
  <c r="L62" i="4" s="1"/>
  <c r="K61" i="4"/>
  <c r="L61" i="4" s="1"/>
  <c r="J65" i="4"/>
  <c r="K53" i="4"/>
  <c r="L53" i="4" s="1"/>
  <c r="K58" i="4"/>
  <c r="K50" i="4"/>
  <c r="J39" i="22"/>
  <c r="K39" i="22" s="1"/>
  <c r="Q14" i="22"/>
  <c r="D63" i="4"/>
  <c r="E63" i="4" s="1"/>
  <c r="Y60" i="4"/>
  <c r="Z60" i="4" s="1"/>
  <c r="Y57" i="4"/>
  <c r="Y63" i="4"/>
  <c r="Z63" i="4" s="1"/>
  <c r="Y55" i="4"/>
  <c r="Y50" i="4"/>
  <c r="Y62" i="4"/>
  <c r="Z62" i="4" s="1"/>
  <c r="Y51" i="4"/>
  <c r="Y61" i="4"/>
  <c r="Z61" i="4" s="1"/>
  <c r="Y58" i="4"/>
  <c r="X65" i="4"/>
  <c r="Y54" i="4"/>
  <c r="J51" i="22"/>
  <c r="I66" i="22"/>
  <c r="J52" i="22"/>
  <c r="J54" i="22"/>
  <c r="K54" i="22" s="1"/>
  <c r="J58" i="22"/>
  <c r="J64" i="22"/>
  <c r="K64" i="22" s="1"/>
  <c r="X95" i="22"/>
  <c r="X100" i="22"/>
  <c r="W110" i="22"/>
  <c r="X98" i="22"/>
  <c r="X108" i="22"/>
  <c r="Y108" i="22" s="1"/>
  <c r="X99" i="22"/>
  <c r="X96" i="22"/>
  <c r="X102" i="22"/>
  <c r="X103" i="22"/>
  <c r="Q43" i="4"/>
  <c r="R35" i="4"/>
  <c r="S35" i="4" s="1"/>
  <c r="R28" i="4"/>
  <c r="R29" i="4"/>
  <c r="J59" i="22"/>
  <c r="P154" i="22"/>
  <c r="Q151" i="22"/>
  <c r="R151" i="22" s="1"/>
  <c r="Q152" i="22"/>
  <c r="R152" i="22" s="1"/>
  <c r="Q146" i="22"/>
  <c r="Q147" i="22"/>
  <c r="Q142" i="22"/>
  <c r="R142" i="22" s="1"/>
  <c r="Q150" i="22"/>
  <c r="R150" i="22" s="1"/>
  <c r="Q149" i="22"/>
  <c r="R149" i="22" s="1"/>
  <c r="J117" i="22"/>
  <c r="D72" i="4"/>
  <c r="D61" i="4"/>
  <c r="E61" i="4" s="1"/>
  <c r="R39" i="4"/>
  <c r="S39" i="4" s="1"/>
  <c r="J61" i="22"/>
  <c r="K61" i="22" s="1"/>
  <c r="J17" i="22"/>
  <c r="K17" i="22" s="1"/>
  <c r="J19" i="22"/>
  <c r="K19" i="22" s="1"/>
  <c r="J9" i="22"/>
  <c r="K9" i="22" s="1"/>
  <c r="J14" i="22"/>
  <c r="I21" i="22"/>
  <c r="J13" i="22"/>
  <c r="J18" i="22"/>
  <c r="K18" i="22" s="1"/>
  <c r="J16" i="22"/>
  <c r="K16" i="22" s="1"/>
  <c r="J7" i="22"/>
  <c r="K6" i="22" s="1"/>
  <c r="D7" i="4"/>
  <c r="D13" i="4"/>
  <c r="D17" i="4"/>
  <c r="E17" i="4" s="1"/>
  <c r="D19" i="4"/>
  <c r="E19" i="4" s="1"/>
  <c r="D9" i="4"/>
  <c r="E9" i="4" s="1"/>
  <c r="C21" i="4"/>
  <c r="D6" i="4"/>
  <c r="D14" i="4"/>
  <c r="D18" i="4"/>
  <c r="E18" i="4" s="1"/>
  <c r="D16" i="4"/>
  <c r="E16" i="4" s="1"/>
  <c r="C43" i="4"/>
  <c r="D31" i="4"/>
  <c r="E31" i="4" s="1"/>
  <c r="D40" i="4"/>
  <c r="E40" i="4" s="1"/>
  <c r="D41" i="4"/>
  <c r="E41" i="4" s="1"/>
  <c r="D38" i="4"/>
  <c r="E38" i="4" s="1"/>
  <c r="D28" i="4"/>
  <c r="D39" i="4"/>
  <c r="E39" i="4" s="1"/>
  <c r="D36" i="4"/>
  <c r="E35" i="4" s="1"/>
  <c r="D29" i="4"/>
  <c r="J84" i="22"/>
  <c r="K84" i="22" s="1"/>
  <c r="J81" i="22"/>
  <c r="J76" i="22"/>
  <c r="K76" i="22" s="1"/>
  <c r="J83" i="22"/>
  <c r="K83" i="22" s="1"/>
  <c r="J80" i="22"/>
  <c r="J74" i="22"/>
  <c r="K73" i="22" s="1"/>
  <c r="J86" i="22"/>
  <c r="K86" i="22" s="1"/>
  <c r="J85" i="22"/>
  <c r="K85" i="22" s="1"/>
  <c r="I88" i="22"/>
  <c r="Q7" i="22"/>
  <c r="P21" i="22"/>
  <c r="Q13" i="22"/>
  <c r="Q6" i="22"/>
  <c r="R72" i="4"/>
  <c r="Q87" i="4"/>
  <c r="R73" i="4"/>
  <c r="R75" i="4"/>
  <c r="S75" i="4" s="1"/>
  <c r="C65" i="4"/>
  <c r="D57" i="4"/>
  <c r="D53" i="4"/>
  <c r="E53" i="4" s="1"/>
  <c r="D51" i="4"/>
  <c r="D50" i="4"/>
  <c r="J29" i="22"/>
  <c r="X74" i="22"/>
  <c r="X80" i="22"/>
  <c r="X77" i="22"/>
  <c r="X73" i="22"/>
  <c r="X84" i="22"/>
  <c r="Y84" i="22" s="1"/>
  <c r="X85" i="22"/>
  <c r="Y85" i="22" s="1"/>
  <c r="X86" i="22"/>
  <c r="Y86" i="22" s="1"/>
  <c r="X83" i="22"/>
  <c r="Y83" i="22" s="1"/>
  <c r="W88" i="22"/>
  <c r="X76" i="22"/>
  <c r="X81" i="22"/>
  <c r="X78" i="22"/>
  <c r="J30" i="22"/>
  <c r="R84" i="4"/>
  <c r="S84" i="4" s="1"/>
  <c r="Y53" i="4"/>
  <c r="R41" i="4"/>
  <c r="S41" i="4" s="1"/>
  <c r="C105" i="22"/>
  <c r="D105" i="22" s="1"/>
  <c r="C103" i="22"/>
  <c r="D102" i="22" s="1"/>
  <c r="C108" i="22"/>
  <c r="D108" i="22" s="1"/>
  <c r="C107" i="22"/>
  <c r="D107" i="22" s="1"/>
  <c r="C96" i="22"/>
  <c r="B110" i="22"/>
  <c r="C106" i="22"/>
  <c r="D106" i="22" s="1"/>
  <c r="C95" i="22"/>
  <c r="C98" i="22"/>
  <c r="D98" i="22" s="1"/>
  <c r="C9" i="22"/>
  <c r="D9" i="22" s="1"/>
  <c r="C7" i="22"/>
  <c r="Q108" i="22"/>
  <c r="R108" i="22" s="1"/>
  <c r="Q102" i="22"/>
  <c r="Q107" i="22"/>
  <c r="R107" i="22" s="1"/>
  <c r="Q103" i="22"/>
  <c r="P110" i="22"/>
  <c r="Q106" i="22"/>
  <c r="R106" i="22" s="1"/>
  <c r="Q96" i="22"/>
  <c r="Q95" i="22"/>
  <c r="Q105" i="22"/>
  <c r="R105" i="22" s="1"/>
  <c r="X54" i="22"/>
  <c r="X56" i="22"/>
  <c r="X64" i="22"/>
  <c r="Y64" i="22" s="1"/>
  <c r="X58" i="22"/>
  <c r="X61" i="22"/>
  <c r="Y61" i="22" s="1"/>
  <c r="X62" i="22"/>
  <c r="Y62" i="22" s="1"/>
  <c r="X51" i="22"/>
  <c r="X52" i="22"/>
  <c r="X63" i="22"/>
  <c r="Y63" i="22" s="1"/>
  <c r="W66" i="22"/>
  <c r="X59" i="22"/>
  <c r="J63" i="22"/>
  <c r="K63" i="22" s="1"/>
  <c r="K73" i="4"/>
  <c r="K82" i="4"/>
  <c r="L82" i="4" s="1"/>
  <c r="J87" i="4"/>
  <c r="K80" i="4"/>
  <c r="K83" i="4"/>
  <c r="L83" i="4" s="1"/>
  <c r="K72" i="4"/>
  <c r="K79" i="4"/>
  <c r="K85" i="4"/>
  <c r="L85" i="4" s="1"/>
  <c r="K84" i="4"/>
  <c r="L84" i="4" s="1"/>
  <c r="J96" i="22"/>
  <c r="B88" i="22"/>
  <c r="C81" i="22"/>
  <c r="C80" i="22"/>
  <c r="C84" i="22"/>
  <c r="D84" i="22" s="1"/>
  <c r="C85" i="22"/>
  <c r="D85" i="22" s="1"/>
  <c r="C83" i="22"/>
  <c r="D83" i="22" s="1"/>
  <c r="C73" i="22"/>
  <c r="D73" i="22" s="1"/>
  <c r="C76" i="22"/>
  <c r="D76" i="22" s="1"/>
  <c r="C86" i="22"/>
  <c r="D86" i="22" s="1"/>
  <c r="X33" i="22"/>
  <c r="Q16" i="22"/>
  <c r="R16" i="22" s="1"/>
  <c r="R79" i="4"/>
  <c r="R40" i="4"/>
  <c r="S40" i="4" s="1"/>
  <c r="R85" i="4"/>
  <c r="S85" i="4" s="1"/>
  <c r="K57" i="4"/>
  <c r="X107" i="22"/>
  <c r="Y107" i="22" s="1"/>
  <c r="Q76" i="22"/>
  <c r="R76" i="22" s="1"/>
  <c r="P88" i="22"/>
  <c r="Q73" i="22"/>
  <c r="Q74" i="22"/>
  <c r="Q80" i="22"/>
  <c r="J42" i="22"/>
  <c r="K42" i="22" s="1"/>
  <c r="Q18" i="22"/>
  <c r="R18" i="22" s="1"/>
  <c r="R80" i="4"/>
  <c r="R38" i="4"/>
  <c r="S38" i="4" s="1"/>
  <c r="L6" i="4" l="1"/>
  <c r="Z28" i="4"/>
  <c r="Y146" i="22"/>
  <c r="Z7" i="22"/>
  <c r="Z124" i="22"/>
  <c r="Z140" i="22"/>
  <c r="BC104" i="7"/>
  <c r="Z125" i="22"/>
  <c r="Y124" i="22"/>
  <c r="Z143" i="22"/>
  <c r="Z147" i="22"/>
  <c r="Z144" i="22"/>
  <c r="D36" i="22"/>
  <c r="Y117" i="22"/>
  <c r="Y139" i="22"/>
  <c r="AA13" i="4"/>
  <c r="Z121" i="22"/>
  <c r="Z120" i="22"/>
  <c r="AA120" i="22" s="1"/>
  <c r="F16" i="12" s="1"/>
  <c r="Z139" i="22"/>
  <c r="Z117" i="22"/>
  <c r="AA79" i="4"/>
  <c r="Z6" i="22"/>
  <c r="Z146" i="22"/>
  <c r="Z122" i="22"/>
  <c r="Z118" i="22"/>
  <c r="M6" i="4"/>
  <c r="N6" i="4" s="1"/>
  <c r="BA7" i="5" s="1"/>
  <c r="AA11" i="4"/>
  <c r="Z72" i="4"/>
  <c r="Y120" i="22"/>
  <c r="R124" i="22"/>
  <c r="T14" i="4"/>
  <c r="U13" i="4" s="1"/>
  <c r="BB9" i="5" s="1"/>
  <c r="K117" i="22"/>
  <c r="Y9" i="22"/>
  <c r="T9" i="4"/>
  <c r="U9" i="4" s="1"/>
  <c r="F5" i="11" s="1"/>
  <c r="T6" i="4"/>
  <c r="S125" i="22"/>
  <c r="Z13" i="4"/>
  <c r="D146" i="22"/>
  <c r="S117" i="22"/>
  <c r="T117" i="22" s="1"/>
  <c r="Z6" i="4"/>
  <c r="Y13" i="22"/>
  <c r="Z13" i="22"/>
  <c r="Z10" i="22"/>
  <c r="L35" i="4"/>
  <c r="Z14" i="22"/>
  <c r="Z11" i="22"/>
  <c r="M28" i="4"/>
  <c r="N28" i="4" s="1"/>
  <c r="D7" i="10" s="1"/>
  <c r="S29" i="22"/>
  <c r="AA80" i="4"/>
  <c r="AB79" i="4" s="1"/>
  <c r="H9" i="12" s="1"/>
  <c r="AA75" i="4"/>
  <c r="AB75" i="4" s="1"/>
  <c r="BC56" i="5" s="1"/>
  <c r="AA6" i="4"/>
  <c r="AA73" i="4"/>
  <c r="AA76" i="4"/>
  <c r="AA7" i="4"/>
  <c r="D58" i="22"/>
  <c r="AA72" i="4"/>
  <c r="AA14" i="4"/>
  <c r="D29" i="22"/>
  <c r="E36" i="22"/>
  <c r="F36" i="22" s="1"/>
  <c r="E29" i="22"/>
  <c r="D139" i="22"/>
  <c r="E32" i="22"/>
  <c r="F32" i="22" s="1"/>
  <c r="Z9" i="4"/>
  <c r="E30" i="22"/>
  <c r="R13" i="22"/>
  <c r="D124" i="22"/>
  <c r="L50" i="4"/>
  <c r="K124" i="22"/>
  <c r="M36" i="4"/>
  <c r="M31" i="4"/>
  <c r="N31" i="4" s="1"/>
  <c r="F7" i="10" s="1"/>
  <c r="D51" i="22"/>
  <c r="E57" i="4"/>
  <c r="Z75" i="4"/>
  <c r="L57" i="4"/>
  <c r="T7" i="4"/>
  <c r="AA10" i="4"/>
  <c r="S120" i="22"/>
  <c r="T120" i="22" s="1"/>
  <c r="F16" i="11" s="1"/>
  <c r="S124" i="22"/>
  <c r="M35" i="4"/>
  <c r="S50" i="4"/>
  <c r="F139" i="22"/>
  <c r="AZ103" i="7" s="1"/>
  <c r="Z31" i="4"/>
  <c r="S13" i="4"/>
  <c r="R51" i="22"/>
  <c r="BC8" i="5"/>
  <c r="F5" i="12"/>
  <c r="T51" i="4"/>
  <c r="S36" i="22"/>
  <c r="M13" i="4"/>
  <c r="M9" i="4"/>
  <c r="N9" i="4" s="1"/>
  <c r="F5" i="10" s="1"/>
  <c r="M14" i="4"/>
  <c r="F17" i="9"/>
  <c r="AZ104" i="7"/>
  <c r="K102" i="22"/>
  <c r="F146" i="22"/>
  <c r="AZ105" i="7" s="1"/>
  <c r="D95" i="22"/>
  <c r="Y73" i="22"/>
  <c r="T50" i="4"/>
  <c r="T53" i="4"/>
  <c r="U53" i="4" s="1"/>
  <c r="F8" i="11" s="1"/>
  <c r="Y29" i="22"/>
  <c r="E58" i="22"/>
  <c r="E59" i="22"/>
  <c r="E51" i="22"/>
  <c r="E52" i="22"/>
  <c r="E54" i="22"/>
  <c r="F54" i="22" s="1"/>
  <c r="Z53" i="4"/>
  <c r="T58" i="4"/>
  <c r="U57" i="4" s="1"/>
  <c r="BB41" i="5" s="1"/>
  <c r="K139" i="22"/>
  <c r="L79" i="4"/>
  <c r="Y51" i="22"/>
  <c r="Y76" i="22"/>
  <c r="Y80" i="22"/>
  <c r="E50" i="4"/>
  <c r="K80" i="22"/>
  <c r="Y95" i="22"/>
  <c r="Z50" i="4"/>
  <c r="R36" i="22"/>
  <c r="L28" i="4"/>
  <c r="AA35" i="4"/>
  <c r="AA33" i="4"/>
  <c r="AA31" i="4"/>
  <c r="AB31" i="4" s="1"/>
  <c r="AA36" i="4"/>
  <c r="AA28" i="4"/>
  <c r="AA29" i="4"/>
  <c r="AA32" i="4"/>
  <c r="R80" i="22"/>
  <c r="R29" i="22"/>
  <c r="R73" i="22"/>
  <c r="S30" i="22"/>
  <c r="S37" i="22"/>
  <c r="BB24" i="7"/>
  <c r="R95" i="22"/>
  <c r="R58" i="22"/>
  <c r="S52" i="22"/>
  <c r="S58" i="22"/>
  <c r="S59" i="22"/>
  <c r="S54" i="22"/>
  <c r="T54" i="22" s="1"/>
  <c r="S51" i="22"/>
  <c r="S79" i="4"/>
  <c r="S72" i="4"/>
  <c r="K13" i="22"/>
  <c r="E72" i="4"/>
  <c r="Y102" i="22"/>
  <c r="Y98" i="22"/>
  <c r="K51" i="22"/>
  <c r="Y54" i="22"/>
  <c r="E28" i="4"/>
  <c r="Y36" i="22"/>
  <c r="L140" i="22"/>
  <c r="L142" i="22"/>
  <c r="M142" i="22" s="1"/>
  <c r="L147" i="22"/>
  <c r="L139" i="22"/>
  <c r="L146" i="22"/>
  <c r="R102" i="22"/>
  <c r="L14" i="22"/>
  <c r="L7" i="22"/>
  <c r="L13" i="22"/>
  <c r="L9" i="22"/>
  <c r="M9" i="22" s="1"/>
  <c r="L6" i="22"/>
  <c r="BC8" i="7"/>
  <c r="F11" i="12"/>
  <c r="S147" i="22"/>
  <c r="S146" i="22"/>
  <c r="S142" i="22"/>
  <c r="T142" i="22" s="1"/>
  <c r="S139" i="22"/>
  <c r="S140" i="22"/>
  <c r="K58" i="22"/>
  <c r="D6" i="22"/>
  <c r="E76" i="22"/>
  <c r="F76" i="22" s="1"/>
  <c r="E80" i="22"/>
  <c r="E73" i="22"/>
  <c r="E81" i="22"/>
  <c r="E74" i="22"/>
  <c r="Y58" i="22"/>
  <c r="S96" i="22"/>
  <c r="S103" i="22"/>
  <c r="S95" i="22"/>
  <c r="S102" i="22"/>
  <c r="S98" i="22"/>
  <c r="T98" i="22" s="1"/>
  <c r="K29" i="22"/>
  <c r="T73" i="4"/>
  <c r="T72" i="4"/>
  <c r="T75" i="4"/>
  <c r="U75" i="4" s="1"/>
  <c r="T80" i="4"/>
  <c r="T79" i="4"/>
  <c r="S7" i="22"/>
  <c r="S6" i="22"/>
  <c r="S13" i="22"/>
  <c r="S14" i="22"/>
  <c r="S9" i="22"/>
  <c r="T9" i="22" s="1"/>
  <c r="F29" i="4"/>
  <c r="F31" i="4"/>
  <c r="G31" i="4" s="1"/>
  <c r="F36" i="4"/>
  <c r="F28" i="4"/>
  <c r="F35" i="4"/>
  <c r="E6" i="4"/>
  <c r="R146" i="22"/>
  <c r="T29" i="4"/>
  <c r="T35" i="4"/>
  <c r="T28" i="4"/>
  <c r="T36" i="4"/>
  <c r="T31" i="4"/>
  <c r="U31" i="4" s="1"/>
  <c r="Z99" i="22"/>
  <c r="Z100" i="22"/>
  <c r="Z98" i="22"/>
  <c r="AA98" i="22" s="1"/>
  <c r="Z102" i="22"/>
  <c r="Z96" i="22"/>
  <c r="Z95" i="22"/>
  <c r="Z103" i="22"/>
  <c r="E79" i="4"/>
  <c r="L32" i="22"/>
  <c r="M32" i="22" s="1"/>
  <c r="L36" i="22"/>
  <c r="L29" i="22"/>
  <c r="L30" i="22"/>
  <c r="L37" i="22"/>
  <c r="L124" i="22"/>
  <c r="L120" i="22"/>
  <c r="M120" i="22" s="1"/>
  <c r="L125" i="22"/>
  <c r="L118" i="22"/>
  <c r="L117" i="22"/>
  <c r="Y32" i="22"/>
  <c r="E13" i="22"/>
  <c r="E6" i="22"/>
  <c r="E7" i="22"/>
  <c r="E14" i="22"/>
  <c r="E9" i="22"/>
  <c r="F9" i="22" s="1"/>
  <c r="E103" i="22"/>
  <c r="E98" i="22"/>
  <c r="F98" i="22" s="1"/>
  <c r="E95" i="22"/>
  <c r="E96" i="22"/>
  <c r="E102" i="22"/>
  <c r="F57" i="4"/>
  <c r="F53" i="4"/>
  <c r="G53" i="4" s="1"/>
  <c r="F50" i="4"/>
  <c r="F51" i="4"/>
  <c r="F58" i="4"/>
  <c r="L74" i="22"/>
  <c r="L76" i="22"/>
  <c r="M76" i="22" s="1"/>
  <c r="L81" i="22"/>
  <c r="L80" i="22"/>
  <c r="L73" i="22"/>
  <c r="F14" i="4"/>
  <c r="F7" i="4"/>
  <c r="F9" i="4"/>
  <c r="G9" i="4" s="1"/>
  <c r="F13" i="4"/>
  <c r="F6" i="4"/>
  <c r="E13" i="4"/>
  <c r="F73" i="4"/>
  <c r="F79" i="4"/>
  <c r="F80" i="4"/>
  <c r="F75" i="4"/>
  <c r="G75" i="4" s="1"/>
  <c r="F72" i="4"/>
  <c r="K95" i="22"/>
  <c r="D117" i="22"/>
  <c r="M73" i="4"/>
  <c r="M80" i="4"/>
  <c r="M72" i="4"/>
  <c r="M75" i="4"/>
  <c r="N75" i="4" s="1"/>
  <c r="M79" i="4"/>
  <c r="S76" i="22"/>
  <c r="T76" i="22" s="1"/>
  <c r="S80" i="22"/>
  <c r="S74" i="22"/>
  <c r="S73" i="22"/>
  <c r="S81" i="22"/>
  <c r="D80" i="22"/>
  <c r="L72" i="4"/>
  <c r="Z54" i="22"/>
  <c r="AA54" i="22" s="1"/>
  <c r="Z52" i="22"/>
  <c r="Z58" i="22"/>
  <c r="Z56" i="22"/>
  <c r="Z51" i="22"/>
  <c r="Z59" i="22"/>
  <c r="Z55" i="22"/>
  <c r="Z81" i="22"/>
  <c r="Z76" i="22"/>
  <c r="AA76" i="22" s="1"/>
  <c r="Z77" i="22"/>
  <c r="Z74" i="22"/>
  <c r="Z80" i="22"/>
  <c r="Z73" i="22"/>
  <c r="Z78" i="22"/>
  <c r="R6" i="22"/>
  <c r="S28" i="4"/>
  <c r="L51" i="22"/>
  <c r="L52" i="22"/>
  <c r="L58" i="22"/>
  <c r="L54" i="22"/>
  <c r="M54" i="22" s="1"/>
  <c r="L59" i="22"/>
  <c r="AA50" i="4"/>
  <c r="AA58" i="4"/>
  <c r="AA57" i="4"/>
  <c r="AA55" i="4"/>
  <c r="AA54" i="4"/>
  <c r="AA51" i="4"/>
  <c r="AA53" i="4"/>
  <c r="AB53" i="4" s="1"/>
  <c r="Z57" i="4"/>
  <c r="M51" i="4"/>
  <c r="M58" i="4"/>
  <c r="M53" i="4"/>
  <c r="N53" i="4" s="1"/>
  <c r="M50" i="4"/>
  <c r="M57" i="4"/>
  <c r="K36" i="22"/>
  <c r="Z34" i="22"/>
  <c r="Z29" i="22"/>
  <c r="Z36" i="22"/>
  <c r="Z37" i="22"/>
  <c r="Z32" i="22"/>
  <c r="AA32" i="22" s="1"/>
  <c r="Z30" i="22"/>
  <c r="Z33" i="22"/>
  <c r="L102" i="22"/>
  <c r="L95" i="22"/>
  <c r="L103" i="22"/>
  <c r="L98" i="22"/>
  <c r="M98" i="22" s="1"/>
  <c r="L96" i="22"/>
  <c r="D13" i="22"/>
  <c r="E118" i="22"/>
  <c r="E120" i="22"/>
  <c r="F120" i="22" s="1"/>
  <c r="E117" i="22"/>
  <c r="E125" i="22"/>
  <c r="E124" i="22"/>
  <c r="AA146" i="22" l="1"/>
  <c r="H17" i="12" s="1"/>
  <c r="T51" i="22"/>
  <c r="D13" i="11" s="1"/>
  <c r="AA6" i="22"/>
  <c r="BC7" i="7" s="1"/>
  <c r="D17" i="9"/>
  <c r="F102" i="22"/>
  <c r="AZ73" i="7" s="1"/>
  <c r="AA124" i="22"/>
  <c r="H16" i="12" s="1"/>
  <c r="BA24" i="5"/>
  <c r="BC88" i="7"/>
  <c r="AA139" i="22"/>
  <c r="D17" i="12" s="1"/>
  <c r="M73" i="22"/>
  <c r="BA55" i="7" s="1"/>
  <c r="F9" i="12"/>
  <c r="AB72" i="4"/>
  <c r="D9" i="12" s="1"/>
  <c r="AA117" i="22"/>
  <c r="BC87" i="7" s="1"/>
  <c r="G72" i="4"/>
  <c r="D9" i="9" s="1"/>
  <c r="AB13" i="4"/>
  <c r="BC9" i="5" s="1"/>
  <c r="AB6" i="4"/>
  <c r="D5" i="12" s="1"/>
  <c r="H17" i="9"/>
  <c r="U6" i="4"/>
  <c r="BB7" i="5" s="1"/>
  <c r="BB8" i="5"/>
  <c r="AA13" i="22"/>
  <c r="BC9" i="7" s="1"/>
  <c r="T29" i="22"/>
  <c r="BB23" i="7" s="1"/>
  <c r="T124" i="22"/>
  <c r="BB89" i="7" s="1"/>
  <c r="BB88" i="7"/>
  <c r="N13" i="4"/>
  <c r="BA9" i="5" s="1"/>
  <c r="T36" i="22"/>
  <c r="BB25" i="7" s="1"/>
  <c r="BA23" i="5"/>
  <c r="H12" i="9"/>
  <c r="AZ25" i="7"/>
  <c r="N35" i="4"/>
  <c r="H7" i="10" s="1"/>
  <c r="F29" i="22"/>
  <c r="AZ24" i="7"/>
  <c r="F12" i="9"/>
  <c r="BA8" i="5"/>
  <c r="F124" i="22"/>
  <c r="H16" i="9" s="1"/>
  <c r="N50" i="4"/>
  <c r="BA39" i="5" s="1"/>
  <c r="M51" i="22"/>
  <c r="D13" i="10" s="1"/>
  <c r="U50" i="4"/>
  <c r="D8" i="11" s="1"/>
  <c r="H5" i="11"/>
  <c r="BB40" i="5"/>
  <c r="BC57" i="5"/>
  <c r="AA80" i="22"/>
  <c r="BC57" i="7" s="1"/>
  <c r="AB28" i="4"/>
  <c r="BC23" i="5" s="1"/>
  <c r="F58" i="22"/>
  <c r="H13" i="9" s="1"/>
  <c r="AA51" i="22"/>
  <c r="BC39" i="7" s="1"/>
  <c r="N79" i="4"/>
  <c r="H9" i="10" s="1"/>
  <c r="G13" i="4"/>
  <c r="AZ9" i="5" s="1"/>
  <c r="M6" i="22"/>
  <c r="BA7" i="7" s="1"/>
  <c r="AB35" i="4"/>
  <c r="F51" i="22"/>
  <c r="AZ40" i="7"/>
  <c r="F13" i="9"/>
  <c r="D5" i="10"/>
  <c r="M146" i="22"/>
  <c r="BA105" i="7" s="1"/>
  <c r="BC24" i="5"/>
  <c r="F7" i="12"/>
  <c r="AA58" i="22"/>
  <c r="H13" i="12" s="1"/>
  <c r="F95" i="22"/>
  <c r="AZ71" i="7" s="1"/>
  <c r="F13" i="22"/>
  <c r="H11" i="9" s="1"/>
  <c r="AA102" i="22"/>
  <c r="BC73" i="7" s="1"/>
  <c r="T6" i="22"/>
  <c r="D11" i="11" s="1"/>
  <c r="T58" i="22"/>
  <c r="H13" i="11" s="1"/>
  <c r="T139" i="22"/>
  <c r="BB103" i="7" s="1"/>
  <c r="T146" i="22"/>
  <c r="BB105" i="7" s="1"/>
  <c r="H8" i="11"/>
  <c r="F13" i="11"/>
  <c r="BB40" i="7"/>
  <c r="T80" i="22"/>
  <c r="H14" i="11" s="1"/>
  <c r="AA36" i="22"/>
  <c r="H12" i="12" s="1"/>
  <c r="N57" i="4"/>
  <c r="BA41" i="5" s="1"/>
  <c r="AB50" i="4"/>
  <c r="D8" i="12" s="1"/>
  <c r="M80" i="22"/>
  <c r="H14" i="10" s="1"/>
  <c r="G50" i="4"/>
  <c r="D8" i="9" s="1"/>
  <c r="F6" i="22"/>
  <c r="AZ7" i="7" s="1"/>
  <c r="U35" i="4"/>
  <c r="BB25" i="5" s="1"/>
  <c r="T13" i="22"/>
  <c r="BB9" i="7" s="1"/>
  <c r="N72" i="4"/>
  <c r="D9" i="10" s="1"/>
  <c r="G35" i="4"/>
  <c r="AZ25" i="5" s="1"/>
  <c r="F73" i="22"/>
  <c r="AZ55" i="7" s="1"/>
  <c r="BA104" i="7"/>
  <c r="F17" i="10"/>
  <c r="AA73" i="22"/>
  <c r="BC55" i="7" s="1"/>
  <c r="M95" i="22"/>
  <c r="BA71" i="7" s="1"/>
  <c r="AB57" i="4"/>
  <c r="H8" i="12" s="1"/>
  <c r="U72" i="4"/>
  <c r="BB55" i="5" s="1"/>
  <c r="M139" i="22"/>
  <c r="D16" i="11"/>
  <c r="BB87" i="7"/>
  <c r="BA72" i="7"/>
  <c r="F15" i="10"/>
  <c r="BA56" i="5"/>
  <c r="F9" i="10"/>
  <c r="F5" i="9"/>
  <c r="AZ8" i="5"/>
  <c r="BA24" i="7"/>
  <c r="F12" i="10"/>
  <c r="F7" i="9"/>
  <c r="AZ24" i="5"/>
  <c r="F17" i="11"/>
  <c r="BB104" i="7"/>
  <c r="AA29" i="22"/>
  <c r="BC56" i="7"/>
  <c r="F14" i="12"/>
  <c r="G79" i="4"/>
  <c r="AZ40" i="5"/>
  <c r="F8" i="9"/>
  <c r="F11" i="9"/>
  <c r="AZ8" i="7"/>
  <c r="F7" i="11"/>
  <c r="BB24" i="5"/>
  <c r="BB56" i="5"/>
  <c r="F9" i="11"/>
  <c r="BB72" i="7"/>
  <c r="F15" i="11"/>
  <c r="F12" i="12"/>
  <c r="BC24" i="7"/>
  <c r="BA40" i="5"/>
  <c r="F8" i="10"/>
  <c r="BC40" i="5"/>
  <c r="F8" i="12"/>
  <c r="BA40" i="7"/>
  <c r="F13" i="10"/>
  <c r="BB56" i="7"/>
  <c r="F14" i="11"/>
  <c r="G6" i="4"/>
  <c r="F14" i="10"/>
  <c r="BA56" i="7"/>
  <c r="G57" i="4"/>
  <c r="F15" i="9"/>
  <c r="AZ72" i="7"/>
  <c r="F16" i="10"/>
  <c r="BA88" i="7"/>
  <c r="M29" i="22"/>
  <c r="F15" i="12"/>
  <c r="BC72" i="7"/>
  <c r="G28" i="4"/>
  <c r="BB8" i="7"/>
  <c r="F11" i="11"/>
  <c r="T102" i="22"/>
  <c r="F80" i="22"/>
  <c r="F11" i="10"/>
  <c r="BA8" i="7"/>
  <c r="AZ88" i="7"/>
  <c r="F16" i="9"/>
  <c r="F117" i="22"/>
  <c r="M102" i="22"/>
  <c r="M58" i="22"/>
  <c r="F13" i="12"/>
  <c r="BC40" i="7"/>
  <c r="T73" i="22"/>
  <c r="AZ56" i="5"/>
  <c r="F9" i="9"/>
  <c r="H15" i="9"/>
  <c r="M117" i="22"/>
  <c r="M124" i="22"/>
  <c r="M36" i="22"/>
  <c r="AA95" i="22"/>
  <c r="U28" i="4"/>
  <c r="U79" i="4"/>
  <c r="T95" i="22"/>
  <c r="F14" i="9"/>
  <c r="AZ56" i="7"/>
  <c r="M13" i="22"/>
  <c r="BC105" i="7" l="1"/>
  <c r="BB39" i="7"/>
  <c r="D11" i="12"/>
  <c r="BC89" i="7"/>
  <c r="BC103" i="7"/>
  <c r="AZ89" i="7"/>
  <c r="H5" i="12"/>
  <c r="D14" i="10"/>
  <c r="H12" i="11"/>
  <c r="BC55" i="5"/>
  <c r="D15" i="9"/>
  <c r="D16" i="12"/>
  <c r="AZ41" i="7"/>
  <c r="H11" i="12"/>
  <c r="BC7" i="5"/>
  <c r="AZ55" i="5"/>
  <c r="D5" i="11"/>
  <c r="D11" i="10"/>
  <c r="D15" i="10"/>
  <c r="H16" i="11"/>
  <c r="D12" i="11"/>
  <c r="BA55" i="5"/>
  <c r="H5" i="9"/>
  <c r="H5" i="10"/>
  <c r="BC39" i="5"/>
  <c r="D7" i="12"/>
  <c r="H15" i="12"/>
  <c r="BA39" i="7"/>
  <c r="H17" i="10"/>
  <c r="AZ9" i="7"/>
  <c r="BA25" i="5"/>
  <c r="BA57" i="5"/>
  <c r="H14" i="12"/>
  <c r="D17" i="11"/>
  <c r="AZ23" i="7"/>
  <c r="D12" i="9"/>
  <c r="D8" i="10"/>
  <c r="BC25" i="7"/>
  <c r="BB39" i="5"/>
  <c r="D13" i="12"/>
  <c r="BC41" i="5"/>
  <c r="BA57" i="7"/>
  <c r="BB41" i="7"/>
  <c r="BB7" i="7"/>
  <c r="H7" i="9"/>
  <c r="BC41" i="7"/>
  <c r="D14" i="9"/>
  <c r="AZ39" i="5"/>
  <c r="D13" i="9"/>
  <c r="AZ39" i="7"/>
  <c r="BC25" i="5"/>
  <c r="H7" i="12"/>
  <c r="H17" i="11"/>
  <c r="BB57" i="7"/>
  <c r="H11" i="11"/>
  <c r="D9" i="11"/>
  <c r="H7" i="11"/>
  <c r="D14" i="12"/>
  <c r="D11" i="9"/>
  <c r="H8" i="10"/>
  <c r="BA103" i="7"/>
  <c r="D17" i="10"/>
  <c r="BA9" i="7"/>
  <c r="H11" i="10"/>
  <c r="H16" i="10"/>
  <c r="BA89" i="7"/>
  <c r="BB55" i="7"/>
  <c r="D14" i="11"/>
  <c r="AZ23" i="5"/>
  <c r="D7" i="9"/>
  <c r="BB71" i="7"/>
  <c r="D15" i="11"/>
  <c r="BB23" i="5"/>
  <c r="D7" i="11"/>
  <c r="D16" i="10"/>
  <c r="BA87" i="7"/>
  <c r="H13" i="10"/>
  <c r="BA41" i="7"/>
  <c r="AZ7" i="5"/>
  <c r="D5" i="9"/>
  <c r="BC23" i="7"/>
  <c r="D12" i="12"/>
  <c r="BB57" i="5"/>
  <c r="H9" i="11"/>
  <c r="BC71" i="7"/>
  <c r="D15" i="12"/>
  <c r="BA73" i="7"/>
  <c r="H15" i="10"/>
  <c r="AZ57" i="7"/>
  <c r="H14" i="9"/>
  <c r="AZ41" i="5"/>
  <c r="H8" i="9"/>
  <c r="AZ57" i="5"/>
  <c r="H9" i="9"/>
  <c r="BA25" i="7"/>
  <c r="H12" i="10"/>
  <c r="D16" i="9"/>
  <c r="AZ87" i="7"/>
  <c r="H15" i="11"/>
  <c r="BB73" i="7"/>
  <c r="D12" i="10"/>
  <c r="BA23" i="7"/>
</calcChain>
</file>

<file path=xl/comments1.xml><?xml version="1.0" encoding="utf-8"?>
<comments xmlns="http://schemas.openxmlformats.org/spreadsheetml/2006/main">
  <authors>
    <author>james.abbott</author>
  </authors>
  <commentList>
    <comment ref="F2" authorId="0" shapeId="0">
      <text>
        <r>
          <rPr>
            <b/>
            <sz val="9"/>
            <color indexed="81"/>
            <rFont val="Tahoma"/>
            <family val="2"/>
          </rPr>
          <t>james.abbott:</t>
        </r>
        <r>
          <rPr>
            <sz val="9"/>
            <color indexed="81"/>
            <rFont val="Tahoma"/>
            <family val="2"/>
          </rPr>
          <t xml:space="preserve">
SHOWS ALL PERFORMANCE INDICATORS</t>
        </r>
      </text>
    </comment>
    <comment ref="G2" authorId="0" shapeId="0">
      <text>
        <r>
          <rPr>
            <b/>
            <sz val="9"/>
            <color indexed="81"/>
            <rFont val="Tahoma"/>
            <family val="2"/>
          </rPr>
          <t>james.abbott:</t>
        </r>
        <r>
          <rPr>
            <sz val="9"/>
            <color indexed="81"/>
            <rFont val="Tahoma"/>
            <family val="2"/>
          </rPr>
          <t xml:space="preserve">
JUMP TO VALUE FOR MONEY PERFORMANCE INDICATORS</t>
        </r>
      </text>
    </comment>
    <comment ref="H2" authorId="0" shapeId="0">
      <text>
        <r>
          <rPr>
            <b/>
            <sz val="9"/>
            <color indexed="81"/>
            <rFont val="Tahoma"/>
            <family val="2"/>
          </rPr>
          <t>james.abbott:</t>
        </r>
        <r>
          <rPr>
            <sz val="9"/>
            <color indexed="81"/>
            <rFont val="Tahoma"/>
            <family val="2"/>
          </rPr>
          <t xml:space="preserve">
JUMP TO PROMOTING LOCAL ECONOMIC GROWTH PERFORMANCE INDICATORS</t>
        </r>
      </text>
    </comment>
    <comment ref="I2" authorId="0" shapeId="0">
      <text>
        <r>
          <rPr>
            <b/>
            <sz val="9"/>
            <color indexed="81"/>
            <rFont val="Tahoma"/>
            <family val="2"/>
          </rPr>
          <t>james.abbott:</t>
        </r>
        <r>
          <rPr>
            <sz val="9"/>
            <color indexed="81"/>
            <rFont val="Tahoma"/>
            <family val="2"/>
          </rPr>
          <t xml:space="preserve">
JUMP TO PROTECTING AND STRENGTHENING COMMUNITIES PERFORMANCE INDICATORS</t>
        </r>
      </text>
    </comment>
    <comment ref="F3" authorId="0" shapeId="0">
      <text>
        <r>
          <rPr>
            <b/>
            <sz val="9"/>
            <color indexed="81"/>
            <rFont val="Tahoma"/>
            <family val="2"/>
          </rPr>
          <t>james.abbott:</t>
        </r>
        <r>
          <rPr>
            <sz val="9"/>
            <color indexed="81"/>
            <rFont val="Tahoma"/>
            <family val="2"/>
          </rPr>
          <t xml:space="preserve">
SHOWS SUMMARY OF ALL PERCENTAGES AS AT THE END OF QUARTER 1</t>
        </r>
      </text>
    </comment>
    <comment ref="G3" authorId="0" shapeId="0">
      <text>
        <r>
          <rPr>
            <b/>
            <sz val="9"/>
            <color indexed="81"/>
            <rFont val="Tahoma"/>
            <family val="2"/>
          </rPr>
          <t>james.abbott:</t>
        </r>
        <r>
          <rPr>
            <sz val="9"/>
            <color indexed="81"/>
            <rFont val="Tahoma"/>
            <family val="2"/>
          </rPr>
          <t xml:space="preserve">
SHOWS SUMMARY OF ALL PERCENTAGES AS AT THE END OF QUARTER 2</t>
        </r>
      </text>
    </comment>
    <comment ref="H3" authorId="0" shapeId="0">
      <text>
        <r>
          <rPr>
            <b/>
            <sz val="9"/>
            <color indexed="81"/>
            <rFont val="Tahoma"/>
            <family val="2"/>
          </rPr>
          <t>james.abbott:</t>
        </r>
        <r>
          <rPr>
            <sz val="9"/>
            <color indexed="81"/>
            <rFont val="Tahoma"/>
            <family val="2"/>
          </rPr>
          <t xml:space="preserve">
SHOWS SUMMARY OF ALL PERCENTAGES AS AT THE END OF QUARTER 3</t>
        </r>
      </text>
    </comment>
    <comment ref="I3" authorId="0" shapeId="0">
      <text>
        <r>
          <rPr>
            <b/>
            <sz val="9"/>
            <color indexed="81"/>
            <rFont val="Tahoma"/>
            <family val="2"/>
          </rPr>
          <t>james.abbott:</t>
        </r>
        <r>
          <rPr>
            <sz val="9"/>
            <color indexed="81"/>
            <rFont val="Tahoma"/>
            <family val="2"/>
          </rPr>
          <t xml:space="preserve">
SHOWS SUMMARY OF ALL PERCENTAGES AT THE END OF THE 2011/12 FINANCIAL YEAR</t>
        </r>
      </text>
    </comment>
    <comment ref="F4" authorId="0" shapeId="0">
      <text>
        <r>
          <rPr>
            <b/>
            <sz val="9"/>
            <color indexed="81"/>
            <rFont val="Tahoma"/>
            <family val="2"/>
          </rPr>
          <t>james.abbott:</t>
        </r>
        <r>
          <rPr>
            <sz val="9"/>
            <color indexed="81"/>
            <rFont val="Tahoma"/>
            <family val="2"/>
          </rPr>
          <t xml:space="preserve">
</t>
        </r>
        <r>
          <rPr>
            <sz val="10"/>
            <color indexed="81"/>
            <rFont val="Arial"/>
            <family val="2"/>
          </rPr>
          <t>VIEW CHANGES IN R/A/G STATUS BY QUARTER FOR ALL PERFORMANCE INDICATORS</t>
        </r>
      </text>
    </comment>
  </commentList>
</comments>
</file>

<file path=xl/comments2.xml><?xml version="1.0" encoding="utf-8"?>
<comments xmlns="http://schemas.openxmlformats.org/spreadsheetml/2006/main">
  <authors>
    <author>James Abbott</author>
  </authors>
  <commentList>
    <comment ref="C70" authorId="0" shapeId="0">
      <text>
        <r>
          <rPr>
            <b/>
            <sz val="9"/>
            <color indexed="81"/>
            <rFont val="Tahoma"/>
            <family val="2"/>
          </rPr>
          <t>James Abbott:</t>
        </r>
        <r>
          <rPr>
            <sz val="9"/>
            <color indexed="81"/>
            <rFont val="Tahoma"/>
            <family val="2"/>
          </rPr>
          <t xml:space="preserve">
Updated as part of Q1 Cabinet Report</t>
        </r>
      </text>
    </comment>
    <comment ref="C71" authorId="0" shapeId="0">
      <text>
        <r>
          <rPr>
            <b/>
            <sz val="9"/>
            <color indexed="81"/>
            <rFont val="Tahoma"/>
            <family val="2"/>
          </rPr>
          <t>James Abbott:</t>
        </r>
        <r>
          <rPr>
            <sz val="9"/>
            <color indexed="81"/>
            <rFont val="Tahoma"/>
            <family val="2"/>
          </rPr>
          <t xml:space="preserve">
Updated as part of Q1 Cabinet Report</t>
        </r>
      </text>
    </comment>
    <comment ref="C72" authorId="0" shapeId="0">
      <text>
        <r>
          <rPr>
            <b/>
            <sz val="9"/>
            <color indexed="81"/>
            <rFont val="Tahoma"/>
            <family val="2"/>
          </rPr>
          <t>James Abbott:</t>
        </r>
        <r>
          <rPr>
            <sz val="9"/>
            <color indexed="81"/>
            <rFont val="Tahoma"/>
            <family val="2"/>
          </rPr>
          <t xml:space="preserve">
Updated as part of Q1 Cabinet Report</t>
        </r>
      </text>
    </comment>
    <comment ref="C117" authorId="0" shapeId="0">
      <text>
        <r>
          <rPr>
            <b/>
            <sz val="9"/>
            <color indexed="81"/>
            <rFont val="Tahoma"/>
            <family val="2"/>
          </rPr>
          <t>James Abbott:</t>
        </r>
        <r>
          <rPr>
            <sz val="9"/>
            <color indexed="81"/>
            <rFont val="Tahoma"/>
            <family val="2"/>
          </rPr>
          <t xml:space="preserve">
Updated as part of Q1 Cabinet Report</t>
        </r>
      </text>
    </comment>
  </commentList>
</comments>
</file>

<file path=xl/sharedStrings.xml><?xml version="1.0" encoding="utf-8"?>
<sst xmlns="http://schemas.openxmlformats.org/spreadsheetml/2006/main" count="3231" uniqueCount="781">
  <si>
    <t>Measures</t>
  </si>
  <si>
    <t>Continuing to improve customer access to services</t>
  </si>
  <si>
    <t>Not yet due to be reported</t>
  </si>
  <si>
    <t>CP Ref</t>
  </si>
  <si>
    <t>Priority</t>
  </si>
  <si>
    <t>Service</t>
  </si>
  <si>
    <t>Regulatory Services</t>
  </si>
  <si>
    <t>Quarter 1 On track? (R/A/G)</t>
  </si>
  <si>
    <t>Quarter 2 On track? (R/A/G)</t>
  </si>
  <si>
    <t>Quarter 3 On track? (R/A/G)</t>
  </si>
  <si>
    <t>Direction of Travel From Q1 to Q2</t>
  </si>
  <si>
    <t>Direction of Travel From Q2 to Q3</t>
  </si>
  <si>
    <t>Direction of Travel From Q3 to Q4</t>
  </si>
  <si>
    <t>Quarter 4 Achieved? (R/A/G)</t>
  </si>
  <si>
    <t>QUARTER ONE</t>
  </si>
  <si>
    <t>QUARTER TWO</t>
  </si>
  <si>
    <t>QUARTER THREE</t>
  </si>
  <si>
    <t>QUARTER FOUR</t>
  </si>
  <si>
    <t>ALL TARGETS</t>
  </si>
  <si>
    <t>% of all indicators</t>
  </si>
  <si>
    <t>Green</t>
  </si>
  <si>
    <t>Amber</t>
  </si>
  <si>
    <t>Red</t>
  </si>
  <si>
    <t>Deferred</t>
  </si>
  <si>
    <t>Status</t>
  </si>
  <si>
    <t>Number of measures</t>
  </si>
  <si>
    <t>Percentage</t>
  </si>
  <si>
    <t>In Danger of Falling Behind Target</t>
  </si>
  <si>
    <t>Off Target</t>
  </si>
  <si>
    <t>Deleted</t>
  </si>
  <si>
    <t>% of due indicators</t>
  </si>
  <si>
    <t>Totals</t>
  </si>
  <si>
    <t>Due to be Reported</t>
  </si>
  <si>
    <t>Charts by Corporate Priority</t>
  </si>
  <si>
    <t>OVERALL PERFORMANCE</t>
  </si>
  <si>
    <t>Q1</t>
  </si>
  <si>
    <t>Q2</t>
  </si>
  <si>
    <t>Q3</t>
  </si>
  <si>
    <t>Q4</t>
  </si>
  <si>
    <t>REGULATORY SERVICES</t>
  </si>
  <si>
    <t>Charts by Portfolio</t>
  </si>
  <si>
    <t>Fully Achieved</t>
  </si>
  <si>
    <t>On Track to be Achieved</t>
  </si>
  <si>
    <t>Completed Behind Schedule</t>
  </si>
  <si>
    <t>Not yet due</t>
  </si>
  <si>
    <t>Update not Provided</t>
  </si>
  <si>
    <t>Target Fully Achieved</t>
  </si>
  <si>
    <t>Update not provided</t>
  </si>
  <si>
    <t>n/a</t>
  </si>
  <si>
    <t>Total % of all indicators</t>
  </si>
  <si>
    <t>Total % of due indicators</t>
  </si>
  <si>
    <t>ALL DATA</t>
  </si>
  <si>
    <t>STATUS TRACKING</t>
  </si>
  <si>
    <t>PERCENTAGE TABLES BY PRIORITY</t>
  </si>
  <si>
    <t>ALL  TARGETS</t>
  </si>
  <si>
    <t>QUARTER 1</t>
  </si>
  <si>
    <t>QUARTER 2</t>
  </si>
  <si>
    <t>QUARTER 3</t>
  </si>
  <si>
    <t>QUARTER 4</t>
  </si>
  <si>
    <t>CHARTS BY PRIORITY</t>
  </si>
  <si>
    <t>PERCENTAGE TABLES BY PORTFOLIO</t>
  </si>
  <si>
    <t>CHARTS BY PORTFOLIO</t>
  </si>
  <si>
    <t>View quarterly R/A/G percentages or charts for each priority / portfolio.</t>
  </si>
  <si>
    <t>Back to index</t>
  </si>
  <si>
    <t>Number of Indicators</t>
  </si>
  <si>
    <t>Overall Performance</t>
  </si>
  <si>
    <t>All due targets</t>
  </si>
  <si>
    <t>Corporate Priority</t>
  </si>
  <si>
    <t>Portfolio</t>
  </si>
  <si>
    <t>Q1 SUMMARY</t>
  </si>
  <si>
    <t>Q2 SUMMARY</t>
  </si>
  <si>
    <t>Q3 SUMMARY</t>
  </si>
  <si>
    <t>Q4 SUMMARY</t>
  </si>
  <si>
    <t>View data for all performance indicators, including performance updates and R/A/G statuses</t>
  </si>
  <si>
    <t>View changes in R/A/G statuses from quarter to quarter for individual performance indicators</t>
  </si>
  <si>
    <t>End of Year Achieved? (R/A/G)</t>
  </si>
  <si>
    <t>Click here to return to index page</t>
  </si>
  <si>
    <t>LEADER OF THE COUNCIL</t>
  </si>
  <si>
    <t>Leader of the Council</t>
  </si>
  <si>
    <t>View "at a glance" summaries of R/A/G percentages for all priorities and portfolios by quarter</t>
  </si>
  <si>
    <t>Ü</t>
  </si>
  <si>
    <t>Ý</t>
  </si>
  <si>
    <t>Þ</t>
  </si>
  <si>
    <t>Numerical Outturn Within 5% Tolerance</t>
  </si>
  <si>
    <t>Numerical Outturn Within 10% Tolerance</t>
  </si>
  <si>
    <t>Target Partially Met</t>
  </si>
  <si>
    <t>Completed Significantly After Target Deadline</t>
  </si>
  <si>
    <t>Completion Date Within Reasonable Tolerance</t>
  </si>
  <si>
    <t>99% of CSC and telephony team enquiries resolved at first point of contact</t>
  </si>
  <si>
    <t>Quarter 1 On Track? (R/A/G)</t>
  </si>
  <si>
    <t>Cultural Services</t>
  </si>
  <si>
    <t xml:space="preserve">Minimum 70% Telephony team calls answered within 10 seconds </t>
  </si>
  <si>
    <t xml:space="preserve">Improve Finance awareness with Members  </t>
  </si>
  <si>
    <t>Deadline</t>
  </si>
  <si>
    <t>Team</t>
  </si>
  <si>
    <t>CULTURAL SERVICES</t>
  </si>
  <si>
    <t>CP order</t>
  </si>
  <si>
    <t>Environment</t>
  </si>
  <si>
    <t>Enterprise</t>
  </si>
  <si>
    <t>Planning</t>
  </si>
  <si>
    <t>Neil Brown</t>
  </si>
  <si>
    <t>Simon Morgan</t>
  </si>
  <si>
    <t>Andy Mason</t>
  </si>
  <si>
    <t>Chloe Brown</t>
  </si>
  <si>
    <t>Paul Farrer</t>
  </si>
  <si>
    <t>Sarah Richardson</t>
  </si>
  <si>
    <t>Chris Ebberley</t>
  </si>
  <si>
    <t>Lisa Turner</t>
  </si>
  <si>
    <t>Nathan Gallagher</t>
  </si>
  <si>
    <t>Guy Thornhill</t>
  </si>
  <si>
    <t>Reporting Officer</t>
  </si>
  <si>
    <t>Linda McDonald</t>
  </si>
  <si>
    <t>APPROVED</t>
  </si>
  <si>
    <t>AWAITING APPROVAL</t>
  </si>
  <si>
    <t>VFM01</t>
  </si>
  <si>
    <t>VFM02</t>
  </si>
  <si>
    <t>VFM03</t>
  </si>
  <si>
    <t>VFM04</t>
  </si>
  <si>
    <t>VFM05</t>
  </si>
  <si>
    <t>VFM06</t>
  </si>
  <si>
    <t>VFM07</t>
  </si>
  <si>
    <t>VFM08</t>
  </si>
  <si>
    <t>VFM09</t>
  </si>
  <si>
    <t>VFM10</t>
  </si>
  <si>
    <t>VFM11</t>
  </si>
  <si>
    <t>VFM12</t>
  </si>
  <si>
    <t>VFM13</t>
  </si>
  <si>
    <t>VFM14</t>
  </si>
  <si>
    <t>VFM15</t>
  </si>
  <si>
    <t>VFM16</t>
  </si>
  <si>
    <t>VFM17</t>
  </si>
  <si>
    <t>VFM18</t>
  </si>
  <si>
    <t>VFM19</t>
  </si>
  <si>
    <t>VFM20</t>
  </si>
  <si>
    <t>VFM21</t>
  </si>
  <si>
    <t>VFM22</t>
  </si>
  <si>
    <t>VFM23</t>
  </si>
  <si>
    <t>VFM24</t>
  </si>
  <si>
    <t>VFM25</t>
  </si>
  <si>
    <t>VFM26</t>
  </si>
  <si>
    <t>VFM27</t>
  </si>
  <si>
    <t>VFM28</t>
  </si>
  <si>
    <t>VFM29</t>
  </si>
  <si>
    <t>VFM30</t>
  </si>
  <si>
    <t>VFM31</t>
  </si>
  <si>
    <t>VFM32</t>
  </si>
  <si>
    <t>VFM33</t>
  </si>
  <si>
    <t>VFM34</t>
  </si>
  <si>
    <t>VFM35</t>
  </si>
  <si>
    <t>VFM36</t>
  </si>
  <si>
    <t>VFM37</t>
  </si>
  <si>
    <t>VFM38</t>
  </si>
  <si>
    <t>VFM39</t>
  </si>
  <si>
    <t>VFM40</t>
  </si>
  <si>
    <t>VFM41</t>
  </si>
  <si>
    <t>VFM42</t>
  </si>
  <si>
    <t>VFM43</t>
  </si>
  <si>
    <t>VFM44</t>
  </si>
  <si>
    <t>VFM45</t>
  </si>
  <si>
    <t>VFM46</t>
  </si>
  <si>
    <t>VFM47</t>
  </si>
  <si>
    <t>VFM48</t>
  </si>
  <si>
    <t>VFM49</t>
  </si>
  <si>
    <t>VFM50</t>
  </si>
  <si>
    <t>PSC01</t>
  </si>
  <si>
    <t>PSC02</t>
  </si>
  <si>
    <t>PSC03</t>
  </si>
  <si>
    <t>PSC04</t>
  </si>
  <si>
    <t>PSC05</t>
  </si>
  <si>
    <t>PSC06</t>
  </si>
  <si>
    <t>PSC07</t>
  </si>
  <si>
    <t>PSC08</t>
  </si>
  <si>
    <t>PSC09</t>
  </si>
  <si>
    <t>PSC10</t>
  </si>
  <si>
    <t>PSC11</t>
  </si>
  <si>
    <t>PSC12</t>
  </si>
  <si>
    <t>PSC13</t>
  </si>
  <si>
    <t>PSC14</t>
  </si>
  <si>
    <t>PSC15</t>
  </si>
  <si>
    <t>PSC16</t>
  </si>
  <si>
    <t>PSC17</t>
  </si>
  <si>
    <t>PSC18</t>
  </si>
  <si>
    <t>PSC19</t>
  </si>
  <si>
    <t>PSC20</t>
  </si>
  <si>
    <t>PSC21</t>
  </si>
  <si>
    <t>PSC22</t>
  </si>
  <si>
    <t>PSC23</t>
  </si>
  <si>
    <t>PSC24</t>
  </si>
  <si>
    <t>PSC25</t>
  </si>
  <si>
    <t>PSC26</t>
  </si>
  <si>
    <t>PSC27</t>
  </si>
  <si>
    <t>PSC28</t>
  </si>
  <si>
    <t>PSC29</t>
  </si>
  <si>
    <t>PSC30</t>
  </si>
  <si>
    <t>PSC31</t>
  </si>
  <si>
    <t>PSC32</t>
  </si>
  <si>
    <t>PSC33</t>
  </si>
  <si>
    <t>PSC34</t>
  </si>
  <si>
    <t>PSC35</t>
  </si>
  <si>
    <t>VFM51</t>
  </si>
  <si>
    <t>Value for Money Council Services</t>
  </si>
  <si>
    <t>Promoting Local Economic Growth</t>
  </si>
  <si>
    <t>Protecting and Strengthening Communities</t>
  </si>
  <si>
    <t>PLEG01</t>
  </si>
  <si>
    <t>PLEG02</t>
  </si>
  <si>
    <t>PLEG03</t>
  </si>
  <si>
    <t>PLEG04</t>
  </si>
  <si>
    <t>PLEG05</t>
  </si>
  <si>
    <t>PLEG06</t>
  </si>
  <si>
    <t>PLEG07</t>
  </si>
  <si>
    <t>PLEG08</t>
  </si>
  <si>
    <t>PLEG09</t>
  </si>
  <si>
    <t>PLEG10</t>
  </si>
  <si>
    <t>PLEG13</t>
  </si>
  <si>
    <t>PLEG14</t>
  </si>
  <si>
    <t>PLEG15</t>
  </si>
  <si>
    <t>PLEG16</t>
  </si>
  <si>
    <t>PLEG17</t>
  </si>
  <si>
    <t>PLEG18</t>
  </si>
  <si>
    <t>PLEG19</t>
  </si>
  <si>
    <t>PLEG20</t>
  </si>
  <si>
    <t>PLEG21</t>
  </si>
  <si>
    <t>PLEG22</t>
  </si>
  <si>
    <t>Value for Money Council Services - Protecting Your Money</t>
  </si>
  <si>
    <t>Protecting and Strengthening Communities - Love Where you Live</t>
  </si>
  <si>
    <t>Promoting Local Economic Growth - To Benefit Local People by Turning Aspiration into Reality</t>
  </si>
  <si>
    <t>PLEG11</t>
  </si>
  <si>
    <t>PLEG12</t>
  </si>
  <si>
    <t>Ref</t>
  </si>
  <si>
    <t>VFM</t>
  </si>
  <si>
    <t>PLEG</t>
  </si>
  <si>
    <t>PSC</t>
  </si>
  <si>
    <t>VALUE FOR MONEY COUNCIL SERVICES</t>
  </si>
  <si>
    <t>PROMOTING LOCAL ECONOMIC GROWTH</t>
  </si>
  <si>
    <t>PROTECTING AND STRENGTHENING COMMUNITIES</t>
  </si>
  <si>
    <t>Quarter 1</t>
  </si>
  <si>
    <t>Quarter 2</t>
  </si>
  <si>
    <t>Quarter 3</t>
  </si>
  <si>
    <t>Quarter 4</t>
  </si>
  <si>
    <t>End of year forecast as at end of Q2
(NUMERICAL INDICATORS ONLY)</t>
  </si>
  <si>
    <t>Comments / Further action (Q2)
(IF APPLICABLE)</t>
  </si>
  <si>
    <t>ê</t>
  </si>
  <si>
    <t>é</t>
  </si>
  <si>
    <t>è</t>
  </si>
  <si>
    <t>Please note that all charts shown below can be amended to be displayed in alternative styles. Please right click on the relevant chart, select "change chart type" and choose your preferred chart option.</t>
  </si>
  <si>
    <t xml:space="preserve">Please click on the filter icon displayed in the header of each column to sort and / or filter the data by your preferred option(s). </t>
  </si>
  <si>
    <t>(blank)</t>
  </si>
  <si>
    <t>Grand Total</t>
  </si>
  <si>
    <t>Row Labels</t>
  </si>
  <si>
    <t xml:space="preserve">The PivotTable below can be used to create a customised count with your preferred information. Please click on the example PivotTable provided below, then drag and drop items from the "PivotTable Field List" (displayed on the upper right hand side of the screen), into or out of the appropriate area(s) at the lower right hand side of the screen. Further assistance on the use of PivotTables can be see by clicking on the help icon           in the toolbar above.  </t>
  </si>
  <si>
    <t>Create customised PivotTable Data Counts</t>
  </si>
  <si>
    <t>13 days</t>
  </si>
  <si>
    <t>End of year forecast as at end of Q3
(NUMERICAL INDICATORS ONLY)</t>
  </si>
  <si>
    <t>Count of Quarter 3 On track? (R/A/G)</t>
  </si>
  <si>
    <t>Leisure and Culture Service Delivery Review</t>
  </si>
  <si>
    <t>9 days</t>
  </si>
  <si>
    <t>3 days</t>
  </si>
  <si>
    <t>Working towards the roll-out of Universal Credit</t>
  </si>
  <si>
    <t xml:space="preserve">Maintain and improve the District Auditor's opinion of the authority </t>
  </si>
  <si>
    <t>Providing a secure virtual working environment</t>
  </si>
  <si>
    <t xml:space="preserve">Deliver Neighbourhood Planning Referenda </t>
  </si>
  <si>
    <t>Complete in accordance with statutory requirements</t>
  </si>
  <si>
    <t>Top Quartile as measured against relevant DCLG figures</t>
  </si>
  <si>
    <t>Caroline Frankland</t>
  </si>
  <si>
    <t>Brett Atkinson</t>
  </si>
  <si>
    <t>Rachel Liddle</t>
  </si>
  <si>
    <t>1.5 missed bins per 10,000 collections</t>
  </si>
  <si>
    <t xml:space="preserve">Monitor Local Plan Performance </t>
  </si>
  <si>
    <t>Comments / Further action (Q1)
(IF APPLICABLE)</t>
  </si>
  <si>
    <t>Comments / Further action (Q3)
(IF APPLICABLE)</t>
  </si>
  <si>
    <t>Comments / Further action (Q4)
(IF APPLICABLE)</t>
  </si>
  <si>
    <t>Catherine Grimley</t>
  </si>
  <si>
    <t>Jeff Upton</t>
  </si>
  <si>
    <r>
      <rPr>
        <b/>
        <u/>
        <sz val="18"/>
        <color rgb="FF002060"/>
        <rFont val="Arial"/>
        <family val="2"/>
      </rPr>
      <t>PERFORMANCE DATA 2017/18</t>
    </r>
    <r>
      <rPr>
        <b/>
        <sz val="18"/>
        <color rgb="FF002060"/>
        <rFont val="Arial"/>
        <family val="2"/>
      </rPr>
      <t xml:space="preserve"> - </t>
    </r>
    <r>
      <rPr>
        <b/>
        <sz val="12"/>
        <color rgb="FF002060"/>
        <rFont val="Arial"/>
        <family val="2"/>
      </rPr>
      <t xml:space="preserve"> </t>
    </r>
    <r>
      <rPr>
        <b/>
        <sz val="14"/>
        <rFont val="Arial"/>
        <family val="2"/>
      </rPr>
      <t>Please click on the relevant link to view the information of your choice</t>
    </r>
  </si>
  <si>
    <t>ENTERPRISE</t>
  </si>
  <si>
    <t>ENVIRONMENT</t>
  </si>
  <si>
    <t>PLANNING</t>
  </si>
  <si>
    <t>Town Centre and Neighbourhoods</t>
  </si>
  <si>
    <t>TOWN CENTRE AND NEIGHBOURHOODS</t>
  </si>
  <si>
    <t>Quarter 1 
(April - June 2017)</t>
  </si>
  <si>
    <t>Quarter 2 
(July - Sept 2017)</t>
  </si>
  <si>
    <t>Year to Date
(April - Sept 2017)
(NUMERICAL INDICATORS ONLY)</t>
  </si>
  <si>
    <t>Quarter 3 
(Oct - Dec 2017)</t>
  </si>
  <si>
    <t>Year to Date
(April - Dec 2017)
(NUMERICAL INDICATORS ONLY)</t>
  </si>
  <si>
    <t>Quarter 4 
(Jan - March 2018)</t>
  </si>
  <si>
    <t>Cumulative Annual Outturn
(April 2017 - March 2018)
(NUMERICAL INDICATORS ONLY)</t>
  </si>
  <si>
    <t>Brewhouse and Town Hall Developments</t>
  </si>
  <si>
    <t>Mike Hovers</t>
  </si>
  <si>
    <t xml:space="preserve">Managing facilities </t>
  </si>
  <si>
    <t>Improve Marketing and Promotions in Cultural Services</t>
  </si>
  <si>
    <t>Minimise the number of missed bin collections</t>
  </si>
  <si>
    <t>Deliver a high quality environmental service</t>
  </si>
  <si>
    <t>Maintaining a strong building consultancy service</t>
  </si>
  <si>
    <t>Continue to improve the ways we provide  Benefits to those most in need:
Time taken to process Benefit new claims and change events (Previously NI 181)</t>
  </si>
  <si>
    <t>Continue to improve the ways we provide  Benefits to those most in need:
Time taken to process Benefit new claims when all the information has been provided</t>
  </si>
  <si>
    <t xml:space="preserve">Continue to prepare for roll-out in accordance with Government guidelines  </t>
  </si>
  <si>
    <t xml:space="preserve">Continue to maximise income through effective collection processes 
(Previously BV 9 &amp; 10) </t>
  </si>
  <si>
    <t>Set budget for 2018/19</t>
  </si>
  <si>
    <t>Continuing to improve the value for money of Council services</t>
  </si>
  <si>
    <t>Continuing to Improve the Value for Money of Council Services</t>
  </si>
  <si>
    <t>To engage proactively with professional groups and constructively respond to Government consultations regarding the establishment of the new local government finance regime</t>
  </si>
  <si>
    <t>Increasing Staffing Availability Through Reduced Sickness</t>
  </si>
  <si>
    <t>Short term sickness days average under 2.95 days</t>
  </si>
  <si>
    <t xml:space="preserve">Improve On The Average Time To Pay Creditors </t>
  </si>
  <si>
    <t>Accommodation Review</t>
  </si>
  <si>
    <t xml:space="preserve">Accommodation Review </t>
  </si>
  <si>
    <t>Improve Council Scrutiny Arrangements</t>
  </si>
  <si>
    <t>Implement the new Neighbourhood Fund</t>
  </si>
  <si>
    <t>Delivering the Councillors Community Fund (CCF)</t>
  </si>
  <si>
    <t>Commissioning Services</t>
  </si>
  <si>
    <t>VFM52</t>
  </si>
  <si>
    <t>VFM53</t>
  </si>
  <si>
    <t>Delivering the SMART Borough agenda</t>
  </si>
  <si>
    <t>VFM54</t>
  </si>
  <si>
    <t>Permits on Council-owned car parks</t>
  </si>
  <si>
    <t>VFM55</t>
  </si>
  <si>
    <t>VFM56</t>
  </si>
  <si>
    <t>Car park improvements</t>
  </si>
  <si>
    <t>VFM57</t>
  </si>
  <si>
    <t>Replacement Car Park Ticket Machines &amp; Electric Car Charging facility</t>
  </si>
  <si>
    <t>VFM58</t>
  </si>
  <si>
    <t>More Efficient Disabled Facility Grants (DFGs) Processing</t>
  </si>
  <si>
    <t>VFM59</t>
  </si>
  <si>
    <t>Mobile working arrangements for Staff</t>
  </si>
  <si>
    <t>Market Hall Business Developments Initiatives</t>
  </si>
  <si>
    <t>Deliver a Self-Build Scheme</t>
  </si>
  <si>
    <r>
      <t xml:space="preserve">Complete plot disposal of phase 1 </t>
    </r>
    <r>
      <rPr>
        <b/>
        <sz val="12"/>
        <color rgb="FFFF0000"/>
        <rFont val="Arial"/>
        <family val="2"/>
      </rPr>
      <t>(deadline to be agreed in year, following planning)</t>
    </r>
  </si>
  <si>
    <t>Deliver a Mixed-Use Scheme at Bargates</t>
  </si>
  <si>
    <t>Target(s) to be agreed in year, following planning)</t>
  </si>
  <si>
    <t>Brownfield Regeneration</t>
  </si>
  <si>
    <t>Job Fairs</t>
  </si>
  <si>
    <t>Monitor Appeals</t>
  </si>
  <si>
    <t>Major Planning Applications Determined Within 13 Weeks</t>
  </si>
  <si>
    <t>Minor Planning Applications Determined Within 8 Weeks</t>
  </si>
  <si>
    <t>Other Planning Applications Determined in 8 Weeks</t>
  </si>
  <si>
    <t>Support the Preparation of Neighbourhood Plans</t>
  </si>
  <si>
    <t xml:space="preserve">Deliver Supplementary Planning Documents </t>
  </si>
  <si>
    <t>Deliver Supplementary Planning Documents</t>
  </si>
  <si>
    <t xml:space="preserve">To Carry Out Necessary Work With Reference to the Transfer of the Local Land Charges Register to the Land Registry </t>
  </si>
  <si>
    <t>Providing More Appropriate  Ways for Services to be Delivered</t>
  </si>
  <si>
    <t>Community Sport and Health Development Initiatives</t>
  </si>
  <si>
    <t>Open Spaces Service Development Initiatives</t>
  </si>
  <si>
    <t>Maintain Top Quartile Performance for Street Cleansing - Litter</t>
  </si>
  <si>
    <t>Maintain Top Quartile Performance for Street Cleansing - Detritus</t>
  </si>
  <si>
    <t>Maintain Top Quartile Performance for Street Cleansing - Graffiti</t>
  </si>
  <si>
    <t>Maintain Top Quartile Performance for Street Cleansing – Fly-Posting</t>
  </si>
  <si>
    <t>“Loo of The Year” Awards</t>
  </si>
  <si>
    <t xml:space="preserve">Maintain Top Quartile Performance on Recycling </t>
  </si>
  <si>
    <t xml:space="preserve">Maintain Top Quartile Performance on Waste Reduction </t>
  </si>
  <si>
    <t>Prepare for the Homelessness Reduction Bill</t>
  </si>
  <si>
    <t>Supporting Homeless Residents</t>
  </si>
  <si>
    <t>Rough Sleepers Outreach Service</t>
  </si>
  <si>
    <t>Reduce the number of Empty homes</t>
  </si>
  <si>
    <t>Introduce a Jam Jar scheme</t>
  </si>
  <si>
    <t xml:space="preserve">Deliver County Council Election </t>
  </si>
  <si>
    <t xml:space="preserve">To Carry Out Necessary Work With Reference to Planning Legislative Changes </t>
  </si>
  <si>
    <t xml:space="preserve">Two Progress Reports during the year </t>
  </si>
  <si>
    <t>Regenerating East Staffordshire Town Centres</t>
  </si>
  <si>
    <t>Delivery of Strategic Sites</t>
  </si>
  <si>
    <t>Two Progress Reports during the year</t>
  </si>
  <si>
    <t>Host a Tourism Consultation Event</t>
  </si>
  <si>
    <t>Appraise The Value Of Digital Marketing To Support The Local Tourism Industry</t>
  </si>
  <si>
    <t>Sarah Bradley</t>
  </si>
  <si>
    <t>“No Smoking” Zones In Children’s Play Areas</t>
  </si>
  <si>
    <t>“No Smoking” Zones In Town Centre Areas</t>
  </si>
  <si>
    <t>Build on “Great British Spring Clean”</t>
  </si>
  <si>
    <t>Selective Licensing Pilot</t>
  </si>
  <si>
    <t>PSC36</t>
  </si>
  <si>
    <t>Car Cruising Monitoring</t>
  </si>
  <si>
    <t>MARK RIZK</t>
  </si>
  <si>
    <t>SAL KHAN</t>
  </si>
  <si>
    <t>ANDY O'BRIEN</t>
  </si>
  <si>
    <t>Quarter One (2017/18)</t>
  </si>
  <si>
    <t>Quarter Two (2017/18)</t>
  </si>
  <si>
    <t>Quarter Three (2017/18)</t>
  </si>
  <si>
    <t>End of Year (2017/18)</t>
  </si>
  <si>
    <t xml:space="preserve">TOWN CENTRE AND NEIGHBOURHOODS </t>
  </si>
  <si>
    <t>a) £1,8000,000
b) £500,000
c) £40,000</t>
  </si>
  <si>
    <t>a) 70%
b) 80%</t>
  </si>
  <si>
    <r>
      <t xml:space="preserve">E-Services take-up targets:
</t>
    </r>
    <r>
      <rPr>
        <b/>
        <sz val="12"/>
        <rFont val="Arial"/>
        <family val="2"/>
      </rPr>
      <t>a) Council Tax Accounts: 1,500
b) Business Rate Accounts: 250
c) Benefit Claimants: 150</t>
    </r>
  </si>
  <si>
    <t>Household waste recycled and composted per household: 455kg</t>
  </si>
  <si>
    <t>Residual household waste per household: 50%</t>
  </si>
  <si>
    <t>Working towards the reduction of Claimant error Housing Benefit Overpayments (HBOPs): 
a) % of HBOPs overpayments recovered during the year; 
b) % of HBOPS processed and on payment arrangement</t>
  </si>
  <si>
    <t>Continue to maximise income through effective collection processes
Reduce Former Years Arrears for:
a) Council Tax; 
b) NNDR; 
c) Sundry Debts</t>
  </si>
  <si>
    <t>Achieve unqualified opinions on:
a) Statement of Accounts with minimal errors; 
b) In relation to Value for Money</t>
  </si>
  <si>
    <t>Procure consultancy support for the delivery of the project 
(May 2017)</t>
  </si>
  <si>
    <t>Establish a detailed project delivery plan
(June 2017)</t>
  </si>
  <si>
    <t>Undertake a benchmarking and review exercise of the Brewhouse and Town Hall programmes
(November 2017)</t>
  </si>
  <si>
    <t>Implement phase 2 of the energy efficiency programme at the Brewhouse
(September 2017)</t>
  </si>
  <si>
    <t>Set out a schedule for implementing condition surveys across the Councils building assets and undertake 3 surveys
(March 2018)</t>
  </si>
  <si>
    <t>Implement improvements through the use of customer data to further develop  business and marketing intelligence
(June 2017)</t>
  </si>
  <si>
    <t>Develop bespoke marketing plans for each service area and complete 85% of targets set in year 
(March 2018)</t>
  </si>
  <si>
    <t>Deliver a minimum of 3 town centre events in conjunction with local sponsors in order to stimulate awareness of ESBC services
(March 2018)</t>
  </si>
  <si>
    <t>Resolve 100% of customer requests for repaired or replacement bin requests within 5 working days 
(March 2018)</t>
  </si>
  <si>
    <t>Complete a waste collection business plan to address growth in the Borough, to seek financial and operating efficiencies
(June 2017)</t>
  </si>
  <si>
    <t>Launch new tariff schedule 
(March 2018)</t>
  </si>
  <si>
    <t>Ensure that 80% of site inspections are undertaken within 1 day of notification 
(March 2018)</t>
  </si>
  <si>
    <t>Ensure that 70% of plan checking is completed within 15 days of receipt
(March 2018)</t>
  </si>
  <si>
    <t xml:space="preserve">Working with other districts, complete a business plan to introduce a countywide service 
(March 2018) </t>
  </si>
  <si>
    <t>Collection Rates of -
a) Council Tax : 98% 
b) NNDR : 99%</t>
  </si>
  <si>
    <t>Set budget for Council approval  
(February 2018)</t>
  </si>
  <si>
    <t>At least 2 briefings delivered to elected members during the year 
(March 2018)</t>
  </si>
  <si>
    <t>Achieve savings targets as stated in the Medium Term Financial Strategy 
(March 2018)</t>
  </si>
  <si>
    <t xml:space="preserve">Introduce Council Tax Penalties
(April 2017)                                                       </t>
  </si>
  <si>
    <t xml:space="preserve">Review Court Costs for Council Tax and Business Rates 
(September 2017)                                                       </t>
  </si>
  <si>
    <t xml:space="preserve">Review Recovery and Write-Off Policies 
(September 2017)                                                       </t>
  </si>
  <si>
    <t xml:space="preserve">Review Council Tax Support Scheme
(June 2017)                                                       
                                                                                                </t>
  </si>
  <si>
    <t xml:space="preserve">Consider alternative Treasury Management opportunities
(December 2017)                                                                                                           </t>
  </si>
  <si>
    <t>Review of Partnership Arrangement
(December 2017)</t>
  </si>
  <si>
    <t>Review pre-planning and other related charges 
(December 2017)</t>
  </si>
  <si>
    <t>Carry out procurement for Multi-Functional Devices 
(December 2017)</t>
  </si>
  <si>
    <t>Introduce category management 
(March 2018)</t>
  </si>
  <si>
    <t xml:space="preserve">Implement new procedures for procurement of consumables
(June 2017) </t>
  </si>
  <si>
    <t>Consider opportunities for savings in printing and postage 
(March 2018)</t>
  </si>
  <si>
    <t>90% satisfaction with the corporate contribution to the strategic leisure management project and accommodation review project
(March 2018)</t>
  </si>
  <si>
    <t xml:space="preserve">Activities throughout the year reported in line with the timed responses 
(March 2018)                                                       </t>
  </si>
  <si>
    <t>Establish a project programme plan and commence delivery 
(June 2017)</t>
  </si>
  <si>
    <t>Complete the accommodation works 
(March 2018)</t>
  </si>
  <si>
    <t>Report to Council with recommendations
(June 2017)</t>
  </si>
  <si>
    <t>Establish the Neighbourhood Fund and support up to 4 projects and report on progress by quarter 
(March 2018)</t>
  </si>
  <si>
    <t>Undertake a review of the Neighbourhood Fund after 12 months of operation
(March 2018)</t>
  </si>
  <si>
    <t>Brief elected members on the CCF scheme and its operation 
(May 2017)</t>
  </si>
  <si>
    <t>Raise the public profile of CCF/NF projects through a variety of promotional initiatives
(March 2018)</t>
  </si>
  <si>
    <t>Consider conservation services with South Derbyshire District Council 
(September 2017)</t>
  </si>
  <si>
    <t>Achieve GCHQ PSN Compliance for access to the Government Secure Intranet 
(December 2017)</t>
  </si>
  <si>
    <t>Conduct a review of existing tariff, and recommend new tariff 
(July 2017)</t>
  </si>
  <si>
    <t>Complete options report of payment methods 
(July 2017)</t>
  </si>
  <si>
    <t>Produce a viability plan to improve car park payment methods on Coopers Square and The Maltings 
(July 2017)</t>
  </si>
  <si>
    <t>Procure new machines, with cashless payment facility 
(November 2017)</t>
  </si>
  <si>
    <t>Working with the County Council, and other districts, agree a method to deliver DFGs in a more efficient way, that benefits the customer 
(March 2018)</t>
  </si>
  <si>
    <t>Produce a plan to introduce mobile working where it is appropriate to do so
(November 2017)</t>
  </si>
  <si>
    <t xml:space="preserve">Improve and develop all aspects of the Market Hall operation, including: trader / tenant mix arrangements; trader business unit proposal documents; revised tariff schedules 
(December 2017) </t>
  </si>
  <si>
    <t>Explore options for the use of digital technology in collecting rent payments
(July 2017)</t>
  </si>
  <si>
    <t>Hold at least 20 commercial events during the year
(March 2018)</t>
  </si>
  <si>
    <t>Achieve occupancy levels of 80% and above
(March 2018)</t>
  </si>
  <si>
    <t>Complete marketing of opportunity, with a shortlist of interested purchasers 
(May 2017)</t>
  </si>
  <si>
    <t>Identify site and produce a detailed business plan for delivery 
(September 2017)</t>
  </si>
  <si>
    <t>Deliver three jobs fairs 
(March 2018)</t>
  </si>
  <si>
    <t>Establish baseline number of appeals against number of planning applications received 
(March 2018)</t>
  </si>
  <si>
    <t>Minimum of 2 new Neighbourhood Plans “made” 
(March 2018)</t>
  </si>
  <si>
    <t>New Parking Standards SPD approved
(September 2017)</t>
  </si>
  <si>
    <t>Work carried out on Open Spaces SPD in order to meet adoption in 2018/19
(March 2018)</t>
  </si>
  <si>
    <t>Completed in accordance with any legislative requirements
(March 2018)</t>
  </si>
  <si>
    <t>Implement Shopmobility Review findings
(June 2017)</t>
  </si>
  <si>
    <t>Deliver a Community Support Programme providing a wide range of opportunity for our communities, including: “Diversionary” activity programme; disability sport and physical activity programme; I-Dance and Art sessions; gardening engagement 
(March 2018)</t>
  </si>
  <si>
    <t>Consider accessing external funding to assist in the delivery of community programmes, including: an initiative aimed at improving physical activity in the 60+ age group 
(March 2018)</t>
  </si>
  <si>
    <t xml:space="preserve">Achieve IFI accreditation at Meadowside Leisure Centre 
(December 2017) </t>
  </si>
  <si>
    <t>Develop a ‘Dementia friendly’ programme-including provision for dedicated swimming sessions 
(May 2017)</t>
  </si>
  <si>
    <t>Undertake a review of pricing at Stapenhill Cemetery 
(October 2017)</t>
  </si>
  <si>
    <t>Review current operational practices and procedures at Stapenhill Cemetery and update management documentation
(March 2018)</t>
  </si>
  <si>
    <t>Review processes and delivery methods for delivering safeguarding training to members and officers
(September 2017)</t>
  </si>
  <si>
    <t>Review the quality assurance frameworks for parks and open spaces and identify a revised approach
(March 2018)</t>
  </si>
  <si>
    <t>Achieve three Green Flags in parks across the Borough 
(March 2018)</t>
  </si>
  <si>
    <t>Achieve 4 gold standard awards 
(March 2018)</t>
  </si>
  <si>
    <t>Produce plan to ensure compliance 
(March 2018)</t>
  </si>
  <si>
    <t>Provide same day advice and assistance to 90% of people making housing enquiries 
(March 2018)</t>
  </si>
  <si>
    <t>Average waiting time of 5 working days for homelessness appointments 
(March 2018)</t>
  </si>
  <si>
    <t>Respond to 100% of referrals within 2 working days 
(March 2018)</t>
  </si>
  <si>
    <t>Produce a business plan to tackle empty homes 
(July 2017)</t>
  </si>
  <si>
    <t>Produce business plan to inform delivery options 
(May 2017)</t>
  </si>
  <si>
    <t>Completed in accordance with any legislative changes and requirements
(March 2018)</t>
  </si>
  <si>
    <t>Hold Stakeholder Workshop
(June 2017)</t>
  </si>
  <si>
    <t>Deliver the ESTCR Programme and report against progress on a quarterly basis
(March 2018)</t>
  </si>
  <si>
    <t>Working with the Destination Management Partnership and the National Forest, complete an appraisal of digital marketing 
(March 2018)</t>
  </si>
  <si>
    <t>Complete an investigation into where it would be appropriate to introduce such measures 
(November 2017)</t>
  </si>
  <si>
    <t>Complete an investigation into where it would be appropriate to introduce such measures 
(March 2018)</t>
  </si>
  <si>
    <t>Complete a community engagement plan 
(November 2017)</t>
  </si>
  <si>
    <t>Launch a pilot scheme in the area of focus 
(October 2017)</t>
  </si>
  <si>
    <t>Understand any positive and negative impacts of any such events through 2017/18 
(March 2018)</t>
  </si>
  <si>
    <t>Thomas Deery</t>
  </si>
  <si>
    <t>End of year forecast as at end of Q1
(NUMERICAL INDICATORS ONLY)</t>
  </si>
  <si>
    <t>Commence the delivery of the project and provide quarterly updates
(March 2018)</t>
  </si>
  <si>
    <t>Target 2017/18</t>
  </si>
  <si>
    <t>1.34 per 10,000</t>
  </si>
  <si>
    <t>Executive Decision Record signed in June approving the implementation of an optimised waste collection round plan.</t>
  </si>
  <si>
    <t>12 days</t>
  </si>
  <si>
    <t>Data programmes underway across leisure and culture services, which will be used to improve marketing, communications and business decisions.</t>
  </si>
  <si>
    <t>Programme plan agreed with design team in June 2017 and work is underway to appoint contractors for main refurbishment works</t>
  </si>
  <si>
    <t>Neighbourhood Plan Referenda will be delivered once they are agreed by Cabinet.
Plans are being developed for the following areas:
Winshill, Shobnall, Abbots Bromley and Rolleston</t>
  </si>
  <si>
    <t>Not yet due - surveys run April - July</t>
  </si>
  <si>
    <t>7.42 days</t>
  </si>
  <si>
    <t>Not yet due - roll out date confirmed August 2018</t>
  </si>
  <si>
    <t>a) 93.51%                                                           b) 81%</t>
  </si>
  <si>
    <t>a) 70%                                                             b) 80%</t>
  </si>
  <si>
    <t>a) 29.9%                                                             b) 33.5%</t>
  </si>
  <si>
    <t>a) 98%                                                           b) 99%</t>
  </si>
  <si>
    <t>Target is annual</t>
  </si>
  <si>
    <t>a) £1,867,197.50 (net of arrangements and identified write offs)                                                                         b) £906,261.31 (net of arrangements and identified write offs)                                                                        c) £2,017.24</t>
  </si>
  <si>
    <t>a) £1,800,000                                                b) £500,000                                                c) £40,000</t>
  </si>
  <si>
    <t>Completed April 2017</t>
  </si>
  <si>
    <t>Target achieved</t>
  </si>
  <si>
    <t>Completed June 2017</t>
  </si>
  <si>
    <t>a) 895                                                                      b) 4                                                                          c) 112</t>
  </si>
  <si>
    <t>a) 1,500                                                         b) 250                                                             c) 150</t>
  </si>
  <si>
    <t>Outcome of review was to close the service. Consultation took place May-June and date of closure confirmed as 21/07/2017.</t>
  </si>
  <si>
    <t>Council Tax Penalties Policy approved March 2017.</t>
  </si>
  <si>
    <t>Quarter 1 not yet available</t>
  </si>
  <si>
    <t>5 projects</t>
  </si>
  <si>
    <t>116kg estimated</t>
  </si>
  <si>
    <t>455kg</t>
  </si>
  <si>
    <t>52% estimated</t>
  </si>
  <si>
    <t>100% achieved within 5 working days from a total of 1,346.</t>
  </si>
  <si>
    <t xml:space="preserve">Rebound Therapy has been introduced at Meadowside LC in May as an additional Disability Sport project. </t>
  </si>
  <si>
    <t>Condition surveys have taken place at the Voluntary Services Centre and Brewhouse</t>
  </si>
  <si>
    <t>3 surveys completed</t>
  </si>
  <si>
    <t>completed</t>
  </si>
  <si>
    <t>Contactless Payment report received and approved by Cabinet in July</t>
  </si>
  <si>
    <t>Completed</t>
  </si>
  <si>
    <t>Methods for measuring quality assurance are being investigated and assessed</t>
  </si>
  <si>
    <t>Judging took place in Quarter 1. Results expected in September</t>
  </si>
  <si>
    <t>To be reviewed in September and October</t>
  </si>
  <si>
    <t>Winshill NP submitted and consultation ending end of July.  Shobnall NP submission anticipated early July.</t>
  </si>
  <si>
    <t>5 projects have passed the presentation stage and have in principle funding agreed.</t>
  </si>
  <si>
    <t>Revised tariff implemented for selected units. Business unit proposal document produced and in use.</t>
  </si>
  <si>
    <t xml:space="preserve">Option to partner with Fusion Credit Union chosen at Cabinet on 15 May 2017. Procurement of software and subsequent public launch due to happen during the summer. </t>
  </si>
  <si>
    <t>Audience data analysis started, extraction of box office data and cross over of audiences analysis begun. Data to be cross referenced with customer insight data, customer surveys and marketing data to establish benchmark.</t>
  </si>
  <si>
    <t>Briefing delivered on 23rd May 2017</t>
  </si>
  <si>
    <t>Tender was successfully awarded in June 2017. New procedures in place.</t>
  </si>
  <si>
    <t>New approach to Overview and Scrutiny arrangements were adopted by Council in June 2017</t>
  </si>
  <si>
    <t>Consultation ending mid July with input of Development Plan Group prior to consultation period</t>
  </si>
  <si>
    <t xml:space="preserve">Consultant engaged in baseline work and liaison with community and sports clubs.  </t>
  </si>
  <si>
    <t>County Council Election was successfully delivered in May 2017</t>
  </si>
  <si>
    <t>Annual Monitoring Report underway and expected in the Autumn</t>
  </si>
  <si>
    <t xml:space="preserve">Procurement process for Leisure / Arts commenced June 2017. Monthly updates provided to Business Assurance Group, and other updates provided to Project Board in line with the project delivery plan. </t>
  </si>
  <si>
    <t xml:space="preserve">Market element of the procurement process due to commence August 2017. </t>
  </si>
  <si>
    <t>Initial engagement with National Forest undertaken to establish programme for this piece of work.</t>
  </si>
  <si>
    <t xml:space="preserve">Achieve three ‘In Bloom’ awards in:
a) Burton
b) Uttoxeter 
c) Winshill 
(September 2017) </t>
  </si>
  <si>
    <t>Not yet due - surveys run April to July</t>
  </si>
  <si>
    <t>Actions set out in the business plan to be implemented following approval, and are subject to review after 12 months.</t>
  </si>
  <si>
    <t>Currently at 3.5 days</t>
  </si>
  <si>
    <t>4 Applications all within time = 100%
TOP QUARTILE</t>
  </si>
  <si>
    <t>62 Applications 59 within time = 95% 
TOP QUARTILE</t>
  </si>
  <si>
    <t>115 Applications 112 within time = 97%
TOP QUARTILE</t>
  </si>
  <si>
    <t xml:space="preserve">Further jobs fairs to delivered in subsequent quarters. </t>
  </si>
  <si>
    <t>A report detailing the level of interest and the outcome of the marketing event was presented to Cabinet on 15th May 2017.</t>
  </si>
  <si>
    <t xml:space="preserve">The Council is no longer delivering a self-build scheme. However it is still seeking to support the delivery of housing development at the site at Lynwood Road, Branston. </t>
  </si>
  <si>
    <t>Full service due to go live in East Staffordshire in August 2018. We await further contact with DWP to discuss preparations towards this date.</t>
  </si>
  <si>
    <t>Information from the CCEOs that the Council rarely gets complaints or litter issues in relation to smoking so will be putting together a report shortly to reflect this.</t>
  </si>
  <si>
    <t>Carol Flannery</t>
  </si>
  <si>
    <t>Max Associates appointed to provide consultancy support throughout the project ahead of target deadline.</t>
  </si>
  <si>
    <t>Council Tax is on track, however we encountered a lack of willingness to sign up to e-services by ratepayers and benefit claimants. A further targeted approach is being planned for August/September to achieve target performance.</t>
  </si>
  <si>
    <t>EDR to be supported by a separate Cabinet report to be submitted at July Cabinet.</t>
  </si>
  <si>
    <t>Commenced soft market testing of other similar authorities' structures.</t>
  </si>
  <si>
    <t>Work on a detailed business plan has commenced in partnership with other authorities.</t>
  </si>
  <si>
    <t xml:space="preserve">Concerted efforts are being taken to improve claims processing to achieve year end target performance.
Results for first three weeks in July show performance on this target as less than three days (2.62 days, 2.52 days and 2.37 days). </t>
  </si>
  <si>
    <t>Engagement across Staffordshire authorities has taken place in respect of the potential move to a 100% Business Rates Scheme.  We await further consultations from Government in respect of the Fair Funding Review.</t>
  </si>
  <si>
    <t>Stakeholder Workshop successfully held on Friday 14th July 2017.</t>
  </si>
  <si>
    <t xml:space="preserve">Performance for July is 70%, which would bring our year to date performance to 69%. </t>
  </si>
  <si>
    <t xml:space="preserve">Tariff review carried out in April in conjunction with "Free after 3" review and approved by Cabinet in May. 
Review included recommendation for revised tariff. </t>
  </si>
  <si>
    <t>Review of permits and payment options completed in conjunction with "Free after 3" review and approved by Cabinet in May.</t>
  </si>
  <si>
    <t>Contactless Payment report received and approved by Cabinet in July. Procurement of new machines to commence from early August</t>
  </si>
  <si>
    <t>Funding is still being pursued to scale up this project, although a campaign to improve physical activity in 60 plus residents will commence from September 2017.</t>
  </si>
  <si>
    <t>Analysis of nearest neighbours and CIPFA group has been completed as part of pricing review that will come forward to Cabinet in October.</t>
  </si>
  <si>
    <t>Marketing plans have been developed for 2017/18. These include a number of objectives which will be developed throughout the year. These objectives are progressing as planned at the end of Quarter 1.</t>
  </si>
  <si>
    <t xml:space="preserve">A plan of events has been established for the 2017/18 year, which will include a number of local sponsors/partners. Events have already been delivered including Children’s Easter Festival, Play in the Place and Summer Fun day, with more planned for the rest of the financial year. </t>
  </si>
  <si>
    <t>Progressing well, with positive early feedback.</t>
  </si>
  <si>
    <t>Appointment of officer confirmed for last week in August hosted by SDDC</t>
  </si>
  <si>
    <t>Quotes gained for handheld electronic payment devices and options considered. Following consideration of the cost/benefit of these units this proposal will not be taken forward.</t>
  </si>
  <si>
    <t>One job fair successfully delivered, held on 11th May 2017.</t>
  </si>
  <si>
    <t>Compiled a list of play areas and also have information from the CCEOs that the Council rarely gets complaints or litter issues in relation to smoking so will be putting together a report shortly to reflect this.</t>
  </si>
  <si>
    <t>A detailed project delivery plan put in place ahead of June target deadline following the appointment of Max Associates. This includes all key milestones and timeframes. The plan will be monitored by both the project team and project board throughout the length of the Leisure and Culture Service Delivery review.</t>
  </si>
  <si>
    <t>Roof repairs started. Old air conditioning unit removed and new system to be installed quarter 2. First phase of LED lighting fitted.</t>
  </si>
  <si>
    <t>Liaison with Programmes and Transformation Team underway regarding collection of benchmarking information. Wider review in September onwards.</t>
  </si>
  <si>
    <t>1st objective to hold a Members Briefing event which was completed on 23rd May 2017</t>
  </si>
  <si>
    <t xml:space="preserve">Attended project meetings and decided to leave the current partnership agreement with the County Council and the other districts at the end of March 2018. Process to be delivered in-house which will afford increased efficiencies to maximise the use of the DFG grant. </t>
  </si>
  <si>
    <t>Across all leisure sites we organised a variety of activities for Dementia Awareness Week. These included swimming, carers café, tea and twiddle, Go Gardening and a Dementia Friends Course. All were well attended (57 over the activities) and has provided the team with information to produce an annual action plan.</t>
  </si>
  <si>
    <t>Visits have taken place to other West Midlands Cemeteries to investigate and learn from best practice.</t>
  </si>
  <si>
    <t>Training methods have been reviewed. A training plan/schedule is being developed to more accurately reflect the roles of staff and Members.</t>
  </si>
  <si>
    <t>ESBC has achieved 4 Green Flags (Bramshall Park, Stapenhill Gardens, The Kingfisher Trail, Branston Water Park).</t>
  </si>
  <si>
    <t>Preparing to conduct an Options Appraisal with support from P&amp;T.</t>
  </si>
  <si>
    <t>Brownfield register being drafted in anticipation of the Government guidance which has been stated as being available at some point in the "summer"</t>
  </si>
  <si>
    <t>Availability of required attendees led to the workshop being held slightly behind schedule, following postponement of original workshop date which clashed with the General Election. Delay does not have any material impact on the delivery of project milestones.</t>
  </si>
  <si>
    <t xml:space="preserve">Report demonstrating progress made during quarter 1 scheduled for presentation to Leader and Deputy Leaders in August 2017. 
ESTCR projects are ongoing in accordance with the programme. </t>
  </si>
  <si>
    <t>Description of progress with the strategic sites to be included in the AMR relating to applications approved and construction update</t>
  </si>
  <si>
    <t xml:space="preserve">Community engagement plan prepared at the start of the financial year. The Great British Spring Clean was completed on 12th April 2017 near one of the gateways to Burton in Branston. This event was attended by other agencies and members of the public. This is followed up with regular community engagements throughout the year to promote littering, fly-tipping and dog fouling issues. These are events from the Community Engagement Plan. This Plan consists of 13 Initiatives and 2 Town Centre promotional events to connect with the community by way of educational or enforcement events. We have to date completed 6 events and on course for the other planned events.  </t>
  </si>
  <si>
    <t xml:space="preserve">Selective licensing area has been delegated and is currently within the 3 month stand still period until 12th September when the scheme goes live. Area has been divided into three phases to ensure a phased roll out to ensure inspections are timely and achievable. </t>
  </si>
  <si>
    <t>Completed in Quarter 1</t>
  </si>
  <si>
    <t>Report on a review of fees and charges to be taken to Corporate Management Team in October</t>
  </si>
  <si>
    <t>Work continues on the detailed business case, working with partner Authorities.</t>
  </si>
  <si>
    <t>Report prepared for October CMT and Cabinet</t>
  </si>
  <si>
    <t>Winshill examination completed and moving forward to referendum.  Shobnall consultation underway closng early October</t>
  </si>
  <si>
    <t>Draft register prpared for consideration and publication taking account fo statutory timescales.  CMT first in October</t>
  </si>
  <si>
    <t>0% April - July</t>
  </si>
  <si>
    <t>Last project board meeting took place on the 14th August. Monthly updates continue to be provided to the Business Assurance Group. The market hall tender is out and closes on the 17th Nov. Detailed submissions for both lots 1 &amp; 2 are expected on the 15th January.</t>
  </si>
  <si>
    <t xml:space="preserve">All objectives are progressing as planned at the end of quarter two. </t>
  </si>
  <si>
    <t>7.64 days</t>
  </si>
  <si>
    <t>7.52 days</t>
  </si>
  <si>
    <t>2.74 days</t>
  </si>
  <si>
    <t>2.84 days</t>
  </si>
  <si>
    <t>a) 1,090 (73% of target)                                b) 59 (24% of target)                                       c) 147 (98% of target)</t>
  </si>
  <si>
    <t>Finalise Options for Lynwood Road Site</t>
  </si>
  <si>
    <t xml:space="preserve">Complete Ecological Surveys 
(September 2017
</t>
  </si>
  <si>
    <t>Submit Planning Application 
(October 2017)</t>
  </si>
  <si>
    <t>Identify a Preferred Developer 
(March 2018)</t>
  </si>
  <si>
    <t>Working with the Destination Management Partnership, host an event to understand needs of local tourism businesses 
(March 2018)</t>
  </si>
  <si>
    <t>All ecological surveys for this site have now been completed.</t>
  </si>
  <si>
    <t>The planning application for this site is currently being developed and will be submitted before the end of October.</t>
  </si>
  <si>
    <t>The site identification work was undertaken during Quarters 1 and 2 and the outcome revealed no appropriate sites for the development of a detailed business plan. As such, an alternative piece of work, the Brownfield and Infill Regeneration Strategy, has been taken forwards which sets out how the Council will approach brownfield regeneration.</t>
  </si>
  <si>
    <t>Two jobs fairs have now been successfully delivered, most recently on 8th September 2017.</t>
  </si>
  <si>
    <t>Simon Humble</t>
  </si>
  <si>
    <t>A date has now been agreed for the event (22nd March 2017) and work for this is ongoing.</t>
  </si>
  <si>
    <t>Work with the National Forest is ongoing.</t>
  </si>
  <si>
    <t>1.5 per 10,000</t>
  </si>
  <si>
    <t>1.6 missed bins per 10,000 collections</t>
  </si>
  <si>
    <t>100% achieved from a total of 1,214</t>
  </si>
  <si>
    <t>117.75kg - estimated</t>
  </si>
  <si>
    <t>50.79% - estimated</t>
  </si>
  <si>
    <t>242.25kg - estimated</t>
  </si>
  <si>
    <t>51.02% - estimated</t>
  </si>
  <si>
    <t>Officer has started in their role and is providing support to the team on one day per week</t>
  </si>
  <si>
    <t>Benchmarking information and base report for pre-application charging schedule under review</t>
  </si>
  <si>
    <t>Review underway and cut to be taken following lastest tranche of meetings to end of September</t>
  </si>
  <si>
    <t>Consultant engaged in baseline work and liaison with community and sports clubs.  Open space assessment received in draft end of September for review</t>
  </si>
  <si>
    <t>Burton YMCA report that the target is being met, corroborated by our contacts with the relevant parties. Some notable successes in recent quarter with entrenched rough sleepers.</t>
  </si>
  <si>
    <t>During Quarter 2 the Community &amp; Civil Enforcement team have completed a further 5x planned initiatives involving the community. These focused on participating in the Burton in Bloom with Open Spaces, Pennycroft and Bramshall Parks in Uttoxeter for dog fouling issues including a stall outside Uttoxeter Town Hall. We also covered Barton based around the marina for mainly dog fouling but also covered anything else associated with community engagement such as educating around littering and flytipping. Next came Stretton woodlands area where we have been getting dog fouling issues and finally in September we attended the Fresher Fayre at Burton College educating on littering especially cigarette ends. In addition to the planned initiatives we have also completed a litter pick with National Citizen Service and the Burton Albion Community Hub on 29 August 17. Prior to this on 16th August we accompanied Enforcement on a taxi initiative on Burton Place car park.</t>
  </si>
  <si>
    <t>5YLS and pipeline - including stratgic sites published.  Further reporting of strategic site progress  to be reported through October CMT</t>
  </si>
  <si>
    <t xml:space="preserve">Tender process has commenced and is due to close on 27th October, at which time the evaluation will be undertaken in order to appoint a contractor. </t>
  </si>
  <si>
    <t xml:space="preserve">Tenders for building works have been received by the project team and are being evaluated with a view to a contractor being appointed October 2017. </t>
  </si>
  <si>
    <t>Very Postive Outcome - the external auditor stated that this is "the cleanest Annual Audit letter he has presented"</t>
  </si>
  <si>
    <t>Timetable agreed, Leader/Deputy Leaders Briefed and Budget Review with Budget Managers and Heads of Service Commenced.</t>
  </si>
  <si>
    <t>Currently at 97%</t>
  </si>
  <si>
    <t xml:space="preserve">All 3 local areas achieved gold at the annual in Bloom awards. </t>
  </si>
  <si>
    <t>Scheme is now live and fully operational</t>
  </si>
  <si>
    <t xml:space="preserve">14 Applications                                        11 projects through stage1                   5 projects  through to stage 3                   </t>
  </si>
  <si>
    <t xml:space="preserve">On reaching  stage 3 then we are reliant on the group finalising their delivery </t>
  </si>
  <si>
    <t>Workshop originally scheduled for 8th June 2017, however the General Election was subsequently called for that same day, leading to the postponement of the workshop. Delay does not have any material impact on the delivery of project milestones.</t>
  </si>
  <si>
    <t>Changes have been made to the governance and structure of the programme. Individual projects remain ongoing but have been transferred back to the "business as usual" project management processes for ESBC.
ESBC and Staffordshire County Council have agreed to jointly commission consultant support to develop a Town Centre Regeneration Implementation Plan (TCRIP) for the town with a view to having a report available in 2018.</t>
  </si>
  <si>
    <t>The ESCTR Programme is being delivered on an ongoing basis. Monthly highlight reports have been produced and reported demonstrating progress made.
The Quarter 1 report updating the Leader and Deputy Leaders on the progress of the ESTCR was presented at a meeting held on 10th August 2017 as scheduled.
The Quarter 2 update report is scheduled for delivery to the LDL meeting to be held on the 26th October 2017.</t>
  </si>
  <si>
    <t>11 days</t>
  </si>
  <si>
    <t>Burton YMCA report that the target is being met, corroborated by our contacts with the relevant parties.</t>
  </si>
  <si>
    <t xml:space="preserve">Report to be presented at July Cabinet. </t>
  </si>
  <si>
    <t>Currently at 95%</t>
  </si>
  <si>
    <t>Undergoing process mapping exercise to measure implications. Preparing for soft market testing of the Private Rented Sector. Statutory Code that will guide implementation due to be released by the CLG in autumn.</t>
  </si>
  <si>
    <t>Currently at 3.8 days</t>
  </si>
  <si>
    <t>Approved at Cabinet on 17th July 2017, early stages of implementation.</t>
  </si>
  <si>
    <t>Completed in Quarter 1.</t>
  </si>
  <si>
    <t>Customer survey currently being collected and collated to complement intiial databox reports. Action Plan being pulled together around findings i.e. Targetting non-returning customers.</t>
  </si>
  <si>
    <t xml:space="preserve">Annual visit from HM Land Registry in September. HM Land Register gathered data how ESBC hold their LLC's Register. Migration start date has been postponed until 2018. Further updates will be provided at their Conference in November at Liverpool. </t>
  </si>
  <si>
    <t>Website update completed with dedicated page for CCF and examples of how funding was spent is being populated.</t>
  </si>
  <si>
    <t>Annual Monitoring Report drafted and  to be reported to CMT in October</t>
  </si>
  <si>
    <t>Review scheduled to be presented to Cabinet in October</t>
  </si>
  <si>
    <t>Although external funding is still being sought, the campaign was rolled out at the beginning of September, with over 100 sixty plus residents signing up in the first 4 weeks.</t>
  </si>
  <si>
    <t>a) 46.34%                                                              
b) 80%</t>
  </si>
  <si>
    <t>a) 62.29%                                                             
b) 80%</t>
  </si>
  <si>
    <t>a) 70%                                                                      
b) 80%</t>
  </si>
  <si>
    <t>a) 57.7%                                                                
b) 60.7%</t>
  </si>
  <si>
    <t>a) 98%                                                                
b) 99%</t>
  </si>
  <si>
    <t>a) £1,928,842.80                                                                                 
b)  £966,524.33                                                                              
c) £18,095.15</t>
  </si>
  <si>
    <t>a)£1,800,000                                                                                  
b) £500,000                                                                                
c) £40,000</t>
  </si>
  <si>
    <t>a) 1,500                                                                      
b) 250                                                                    
c) 150</t>
  </si>
  <si>
    <t>2 projects have passed the final stage and have had funding finalised but not claimed yet. 3 new applications received.</t>
  </si>
  <si>
    <t>Review scheduled to be commenced in line with the target.</t>
  </si>
  <si>
    <t>At least 4 projects will have completed all 3 stages</t>
  </si>
  <si>
    <t>Feedback from consultation incorporated into final draft. SPD approved by EDR in September.</t>
  </si>
  <si>
    <t>Review completed and approved by Cabinet on 11th September 2017. New Court Costs will be implemented on 1st April 2018.</t>
  </si>
  <si>
    <t>Review completed and policies approved by Cabinet on 11th September 2017.</t>
  </si>
  <si>
    <t>The Quarter 2 forecast indicates that the Revenue Budget is on track to underspend for the full financial year.</t>
  </si>
  <si>
    <t>Discussions have taken place with our Treasury Advisors. Planned update to Audit Committee and Full Council as part of Mid-Year Treasury Update in November/December.</t>
  </si>
  <si>
    <t>Report scheduled for Cabinet in quarter 4 that will set out the proposals relating to this target.</t>
  </si>
  <si>
    <t>8 Applications; 7 within time = 88%</t>
  </si>
  <si>
    <t>64 Applications; 60 within time = 94% </t>
  </si>
  <si>
    <t>144 Applications; 143 within time = 99%</t>
  </si>
  <si>
    <t>259 Applications; 255 within time = 98%
TOP QUARTILE</t>
  </si>
  <si>
    <t>126 Applications; 119 within time = 94%
TOP QUARTILE</t>
  </si>
  <si>
    <t>12 Applications; 11 within time = 92%
SECOND QUARTILE</t>
  </si>
  <si>
    <t xml:space="preserve">The Health Act 2006 deals with Smoke free premises, places &amp; vehicles.  ESBC have 73 areas in which there are Childrens Play Areas. ESBC have received no complaints in relation to ‘smoking’ in play areas.  There are also very few complaints regarding the littering caused by smoking.  We therefore feel that it would be disproportionate to introduce no smoking zones in play areas. </t>
  </si>
  <si>
    <t xml:space="preserve">The Health Act 2006 deals with Smoke free premises, places &amp; vehicles.  ESBC have received no complaints in relation to ‘smoking’ in Town Centre areas.  There are also very few complaints regarding the littering caused by smoking.  We therefore feel that it would be disproportionate to introduce no smoking zones. </t>
  </si>
  <si>
    <t>Completed in Quarter 2.
Tenant/trader mix reviewed and casual trader rent incentives agreed.</t>
  </si>
  <si>
    <r>
      <t xml:space="preserve">4.60 days
</t>
    </r>
    <r>
      <rPr>
        <i/>
        <sz val="12"/>
        <rFont val="Arial"/>
        <family val="2"/>
      </rPr>
      <t>Update October 2017: Further work has been completed on the 'Fast Track' claims received which make up this target. This further work has found that the result for Q1 should be 2.91 days and not 4.60 days.</t>
    </r>
  </si>
  <si>
    <t>Process ongoing, next step is to link individual councillors to their CCF expenditure.</t>
  </si>
  <si>
    <t>Phase 2 implemented in line with target deadline, incorporating:
New Air Conditioning Unit installed.
LED lighting installed in all studios, meeting rooms and auditorium.
Roof repairs completed.</t>
  </si>
  <si>
    <t xml:space="preserve">Potential for an application to the Arts Council for capital funding to upgrade  the auditorium "show" lights and supporting electrical systems. 
Underspend on phase 2 programme could be used to draw down up to £80,000 from the Arts Council to complete works outlined above as a further phase of the energy efficiency programme. </t>
  </si>
  <si>
    <t>The town centre events plan continued to be rolled out through quarter 2. Events in this quarter included a partnership between Coopers Square shopping Centre and ESBC leisure centres to offer a pop up gym for national fitness day (27th September)</t>
  </si>
  <si>
    <t>Procurement of parking machines due to commence in October. Electric parking has been reviewed and at present is not a financially viable option for the Council.</t>
  </si>
  <si>
    <t>Project team set up to deliver DFGs in-house. Currently working on completing a tender document for a council approved contractor to deliver the works.</t>
  </si>
  <si>
    <t>A number of disability sport activities and events have been deliverd in Q2, namely the Able Too Fun Games where 68 disabled people plus their families attended, approx 130 in total, at Meadowside. Growth of Rebound Therapy sessions continues to happen with further sessions planned as the year goes on. The Open Spaces Team re-launched the greenhouse in partnership with Fountains School. No diversionary activities took place through Q2, however we are delivering in Q3 at Uttoxeter.</t>
  </si>
  <si>
    <t>On track to achieve Top Quartile position by year end in line with the target</t>
  </si>
  <si>
    <t>Surveys have been undertaken for three premises:
Voluntary Services Centre
Brewhouse
Town Hall</t>
  </si>
  <si>
    <t>Financial analysis and modelling in relation to the potential implications of the new local government finance regime.  Engagement across Staffordshire authorities has taken place in respect of the potential move to a 100% Business Rates Scheme and an expression of interest in a Pilot for 2018/19.  Preparations for a response to the Local Government Settlement 2017/18 – Technical Consultation.  We await further consultations from Government in respect of the Fair Funding Review and 100% Business Rates Retention.</t>
  </si>
  <si>
    <t>HBOPs have increased compared to the same point in 2016 due to the requirement to assess Right Time Information files from DWP/HMRC to correct earnings information held on claims. During April to September 2016, £845,781 HBOPs were generated. For the same period in 2017, £1,168,145 HBOPs have been generated reflecting the amount of HB overpaid to claimants that have not kept us up to date with their income details. Recovery of HBOPs is difficult as most claimants with an overpayment have a limited amount of disposable income to clear the HBOP outstanding. Claimants still in receipt of HB will have the overpayment recovered from their ongoing HB payments at a standard rate of £11.10 per week. We can reduce this recovery amount in cases of exceptional hardship which will increase the length of time taken to clear the outstanding balance and reduce the anticipated amount recovered.</t>
  </si>
  <si>
    <t>Roll out of UC Full Service in East Staffordshire due August 2018.
Two postcodes within East Staffordshire that are not covered by Burton Job Centre are going live in November 2017 and we have met regularly with DWP to ensure procedures are in place for potential claimants from those areas. Full service throughout the rest of East Staffordshire takes place in August 2018. We are meeting with DWP and other stakeholders (eg CAB, Trnet and Dove, Job Centre) to discuss what further preparations are required.</t>
  </si>
  <si>
    <t>b) Business Rates payers are being actively encouraged to sign up to e-services. During October, a further 102 ratepayers signed up to e-services, bringing the numbers signed up as at 31st October to 161 ratepayers.</t>
  </si>
  <si>
    <t xml:space="preserve">Developed a blended approach of 4 programmes based on soft market testing and a forecasting exercise.  </t>
  </si>
  <si>
    <t>Delivered brief presentation on proposals to the leadership, approval given to develop a full business case</t>
  </si>
  <si>
    <t>Completed in Quarter 2.</t>
  </si>
  <si>
    <t>Night Shelter will remain open until the 31 March 2018.</t>
  </si>
  <si>
    <t xml:space="preserve">Very Postive Outcome - as per the Annual Audit Letter presented at Full Council in December. </t>
  </si>
  <si>
    <t>Star Chamber meetings have taken place this Quarter.  Briefings with the Administration have taken place and the Provisional Local Government Settlement has been announced, with the draft MTFS updated accordingly.</t>
  </si>
  <si>
    <t>Update Provided as part of Mid-Year Treasury Management Report.</t>
  </si>
  <si>
    <t>Further information announced as part of the Local Government Finance Settlement in respect of the move to "75% Business Rates Retention by 2020/21.  Consultation papers issued in late December, responses will be prepared and submitted next quarter.</t>
  </si>
  <si>
    <t>At least two more projects expected to move to the completed phase in January</t>
  </si>
  <si>
    <t>The planning application was submitted in October 2017.</t>
  </si>
  <si>
    <t>Two job fairs have been dellivered with the third occuring in Q4.</t>
  </si>
  <si>
    <t xml:space="preserve">Appraisal works are ongoing. </t>
  </si>
  <si>
    <t>Arrangements for the event are ongoing. A venue for the event has now been booked and invites will be issued at the beginning of Q4.</t>
  </si>
  <si>
    <t>Contract was awarded December 2017 as follows:
Lot 1 Revenues and Benefits - PHD Mail Services
Lot 2 Elections Services - Electoral Reform Services
Contract will commence January 2018.</t>
  </si>
  <si>
    <t>Work started on site November 2017. 
Date for completion remains 16 March 2018.</t>
  </si>
  <si>
    <t xml:space="preserve">The Inclusive Fitness Initiative assessment was completed on the 15th November. The accreditation has been awarded to the facility for 3 years. </t>
  </si>
  <si>
    <t>0% Aug - Nov</t>
  </si>
  <si>
    <t>0% Aug – Nov</t>
  </si>
  <si>
    <t>Current contract extended until Town Hall relocation and cultural services review is complete</t>
  </si>
  <si>
    <t>The first board meeting of 2018 will take place on the 10th January where the new direction of the Programme will be discussed. 
The outcome of this meeting will be presented to an LDL meeting at a time to be agreed.</t>
  </si>
  <si>
    <t>The ESTCR Programme is being delivered on an ongoing basis. Monthly highlight reports continue to be produced and reported demonstrating progress made.
The Quarter 2 report updating the Leader and Deputy Leaders on the progress of the ESTCR was presented at a meeting held on 26th October 2017 as scheduled.
Significant changes have been made to the direction of the programme so further Quarter 3 updates were provided and discussed at LDL meetings held on the 9th and 23rd November 2017.</t>
  </si>
  <si>
    <t>All objectives on track to be achieved.</t>
  </si>
  <si>
    <t xml:space="preserve">Executive Decision Record signed in October retaining current level of fees and charges. </t>
  </si>
  <si>
    <t>Initial comments on detailed business case received from all partner Authorities. Further work to be undertaken to address these.</t>
  </si>
  <si>
    <t>Gold Awards received for Bradley Street, Bramshall Road, Duke Street and Stapenhill Gardens.</t>
  </si>
  <si>
    <t>CMT report completed for January 2018 recommending approval for the provision of an in-house DFG service from 19 March 2018 and the adoption of the Disabled Facilities Grants and Adaptations Policy</t>
  </si>
  <si>
    <t>1.59 mised bins per 10,000 collections</t>
  </si>
  <si>
    <t>100% achieved from a total of 1385</t>
  </si>
  <si>
    <t xml:space="preserve">Opportunities for other categories of supplies / services for centralisation of procurement being investigated throughout Quarter 4. </t>
  </si>
  <si>
    <t>Improvements to processes for suppliers to register for specific categories of work to be considered during Quarter 4. 
Building on the centralised management of the recently renewed agency recruitment procurement category, a contract for purchase of consumable items (e.g. cleaning materials, chemicals) has been implemented and this category is also now being monitored centrally.</t>
  </si>
  <si>
    <t>A number of Disability Sport projects continue to be delivered in Quarter 3, Able Too United, Inclusive Cycling, afterschool club at Fountains and Rebound Therapy. Funding has been applied for to extend the Rebound Therapy sessions into another day, we are waiting for the outcome. The Sports Development Team carried out a 2 week intense diversionary actiivty in Uttoxeter, following a number of ASB issues. Reasonable successes, to our knowledge, no further issues of ASB recorded.</t>
  </si>
  <si>
    <t>Review completed and operational changes to be implemented in 2018/19</t>
  </si>
  <si>
    <t>Research undertaken in preparation for quarter 4.</t>
  </si>
  <si>
    <t xml:space="preserve">14 days </t>
  </si>
  <si>
    <t>121.75kg - estimated</t>
  </si>
  <si>
    <t>42.72% - estimated</t>
  </si>
  <si>
    <t>367.15kg - estimated</t>
  </si>
  <si>
    <t>48.08% - estimated</t>
  </si>
  <si>
    <t>7.65 days</t>
  </si>
  <si>
    <t>7.55 days</t>
  </si>
  <si>
    <t>3.77 days</t>
  </si>
  <si>
    <t>3.25 days</t>
  </si>
  <si>
    <t>Two postcodes within East taffordshire went onto Full Service in November 2017.  Roll out of Full Service to East Staffordshire has now been put back to November 2018 by the DWP. However, we continue to hold regular meetings  with DWP leading up to implementation. From Q4 we will commence regular engagement with other stakeholders regarding the rollout.</t>
  </si>
  <si>
    <t>On track to be achieved.</t>
  </si>
  <si>
    <t xml:space="preserve">
a) 90.48% of HBOPs overpayments recovered during the year; 
b) 78% of HBOPS processed and on payment arrangement</t>
  </si>
  <si>
    <t xml:space="preserve">
a) 69.66% of HBOPs overpayments recovered during the year; 
b) 78% of HBOPS processed and on payment arrangement</t>
  </si>
  <si>
    <t xml:space="preserve">
a) 70% of HBOPs overpayments recovered during the year; 
b) 80% of HBOPS processed and on payment arrangement</t>
  </si>
  <si>
    <t>Recovery of overpayments has been set back due to the number of 'RTI' overpayments generated from data received from HMRC via DWP. Some assessments have gone back as far as 2012 and are due to claimants not informing us of changes to their earnings and private pensions. The number of referrals has been dropping since October 2017. During January 2018 the DWP's Performance Team has completed an assessment of our HBOP recovery processes and we await their recommendations for further improvements to collection of outstanding HBOPs.</t>
  </si>
  <si>
    <t xml:space="preserve">a) Council Tax: 85.4%                                                                                                                                                                                                                                                                       b) NNDR: 85.6%
</t>
  </si>
  <si>
    <t xml:space="preserve">a) Council Tax: 98%                                                                                                                                                                                                                                                                       b) NNDR: 99%
</t>
  </si>
  <si>
    <t xml:space="preserve">a) £1,986,154.80                                                                                                                                                                                                                                                                 b) £2,223,710.58                                          c) £38,299.27
</t>
  </si>
  <si>
    <t xml:space="preserve">a) £1,800,000                                                                                                                                                                                                                                                                b) £500,000                                                 c) £40,000
</t>
  </si>
  <si>
    <t>Council Tax and Sundry Debts arrears are on track to be achieved. NNDR looks to be over target, however the figure shown includes debts for previous years raised in current year. Since 1st April 2017 £1.96m of debt for previous years has been raised; £1.5m of which were raised during Q3. This is due to changes made to rateable values by the Valuation Office Agency backdated prior to 1st April 2017. Removing the £1.96m raised in current year from the arrears outstanding as at 31st December 2017 leaves a balance of £630,342.35 outstanding from the balance shown at the beginning of this financial year.</t>
  </si>
  <si>
    <t xml:space="preserve">a) 1,500                                                                                                                                                                                                                                                                 b) 262                                                            c) 182
</t>
  </si>
  <si>
    <t>In October 2017 processing of these cases went up to 7 days whereas all other months so far has seen processing at 3 days and less. The October figure unfortunately skews the year to date performance and does not reflect the work processed by the team for the rest of the year.</t>
  </si>
  <si>
    <t>Staffordshire Police have confirmed that over the last 12 months Car Cruising hasn’t caused any particular issues for Staffordshire Police or for East Staffordshire Borough Council.  The Council in conjunction with Staffordshire Police will continue to monitor such future events.</t>
  </si>
  <si>
    <t>12 Applications; all within time = 100%</t>
  </si>
  <si>
    <t>141 Applications; 136 within time = 96%</t>
  </si>
  <si>
    <t>Reports on track to be completed February 2018 and the Playing Pitch Strategy in March.</t>
  </si>
  <si>
    <t>Brownfield register taken through internal processes and EDR signed leading to publication and national acknowledgement by PAS and others. Response provided on Planning for Homes Consultation following key officer/member briefing</t>
  </si>
  <si>
    <t>AMR published.</t>
  </si>
  <si>
    <t>Site delivery progress report to LDL in October and to be rolled out at member briefing at the end of January</t>
  </si>
  <si>
    <t xml:space="preserve">3 projects have been completed.  </t>
  </si>
  <si>
    <t>To be completed in January 2018</t>
  </si>
  <si>
    <t xml:space="preserve">Link to completed CCF projects page has now been inserted on each councillor's page </t>
  </si>
  <si>
    <t>All benchmarking complete. Resulting Action Plan to form part of Brewhouse and Town Hall delivery in 2018/19</t>
  </si>
  <si>
    <t>Auditorium Lighting to be further looked at in 2018/19. Currently investigating possibility of adding to Capital expedniture via Grant from Arts Council England to enhance planned works. Request to carry forwward current balance of project.  Target included in Corproate Plan 2018/19.</t>
  </si>
  <si>
    <t>Review completed and reported through CMT on 14th November for noting the existing engagement of LPA officers in various forums</t>
  </si>
  <si>
    <t>Completed in Quarter 2.
Officer embedded in team and continues to provide regular and valued contrbution to Planning Service responses</t>
  </si>
  <si>
    <t>DCLG live tables interrogated and rate of appeals is significantly below intended levels for designation.  Further refinement to be undertaken during Q4</t>
  </si>
  <si>
    <t>24 Applications of which 23 within time    = 96%
Second Quartile</t>
  </si>
  <si>
    <t>212 Applications of which 199 within time = 94%
Top Quartile</t>
  </si>
  <si>
    <t>400 Applications of which 391 within time = 98%
Top Quartile</t>
  </si>
  <si>
    <t xml:space="preserve">Still achievable to year end with applications coming forward and precise target changing quarterly. </t>
  </si>
  <si>
    <t>86 Applications; 80 within time = 93%</t>
  </si>
  <si>
    <t>Completed in Quarter 2</t>
  </si>
  <si>
    <t>A number of Scrutiny (Audit and Value for Money Council Services) Committee Briefings have taken place.  There is a further briefing on Treasury Management planned for early 2018.</t>
  </si>
  <si>
    <t>Review completed and presented to Cabinet in October. New charges to come into effect from April 2018</t>
  </si>
  <si>
    <t xml:space="preserve">a) £1,986,154.80                                                                                                                                                                                                                                                                 b) £2,223,710.58                                          
c) £38,299.27
</t>
  </si>
  <si>
    <t xml:space="preserve">Burton YMCA report that the target is being met.
Provided comprehensive assistance in conducting the rough sleeper count In November. YMCA opened a Night Shelter on 1 December so work is focussing on ensuring it is accessed, and assisting occupants in securing move on. </t>
  </si>
  <si>
    <t>Report on mobile working in building control considered by CMT and LDL. Agreed that mobile working in building control be held in abeyance and considered as part of a package for the procurement of a replacement back office system, in conjunction with planning services and land charges.
Completed in October 2017.</t>
  </si>
  <si>
    <t>Overall, there is a forecast net underspend of £0.1m against a net revenue budget of £10.582m.  A number of financial savings are partially offset by pressures arising primarily within Indoor Leisure Services and the Environment Division.  Further details are available within the Quarter 3 Outturn Report.</t>
  </si>
  <si>
    <t>Reported through CMT and EDR signed in December with implementation of agreed charges in April 2018</t>
  </si>
  <si>
    <t>Procurement of new contactless machines completed in November 2017 in line with the target and new maintenance contract agreed for the remaining 16 machines</t>
  </si>
  <si>
    <t>Planned activities in community engagement plan completed by November as per the target.</t>
  </si>
  <si>
    <t>16 applications received
3 did not pass round 1 
1 did not pass round 2</t>
  </si>
  <si>
    <t xml:space="preserve">Date set for Winshill referendum - 25th January 2018.  Shobnall examination undertaken and report received in December.  Further discussions with Shobnall NP group on Examiner's recommended changes with meeting anticipated w/e 26/1/18. </t>
  </si>
  <si>
    <t>Phase 2 of this campaign will be rolled out from Quarter 4. Including more ways sixty plus residents can get active, whilst also highlighting the positive effects physical activity can have on mental health. This will include partnership working.</t>
  </si>
  <si>
    <t xml:space="preserve">October saw a week long initiative held in Anglesey covering an area from Anglesey Road to Blackpool Street and all roads in between, split into two main areas with the divide being Uxbridge Street. Focus on dog fouling and fly-tipping as the main issues for this area-along with school educational visits. Pre- Christmas in Burton Place Shopping Centre an educational engagement exercise with shoppers to was undertaken. A stall providing educational material such as leaflets, posters, pocket ashtrays and poo bags was used. A further initiative covering Horninglow and Stretton covering the community park, Bitham Clay -pitts and Bitham Park focussed on dog fouling issues. We have achieved our 12 planned initiatives to date but this should extend to 19 organised events by Q4. </t>
  </si>
  <si>
    <t>This year has seen a significant decrease in garden waste tonnages as a result of weather conditions. This affects recycling performance. However, end of year figure is likely to be on target.</t>
  </si>
  <si>
    <t xml:space="preserve">a) 1289                                                                                                                                                                                                                                                                 b) 163                                                          
c) 182
</t>
  </si>
  <si>
    <t xml:space="preserve">Target is sum to date.                                                                       In January 2018 a further 99 business rates accounts were added to e-services, meaning both NNDR and Benefits have already exceeded the targets set.                                        </t>
  </si>
  <si>
    <t>a) 1090                                                                    
b) 59                                                                                                      
c) 147</t>
  </si>
  <si>
    <t xml:space="preserve">
The Council is waiting for HMLR to make an announcement with further information and timescales for the transfer of the Local Land Charges Register to the Land Registry. Background preparatory work remains ongoing, for example data / demand sharing with HMLR. 
</t>
  </si>
  <si>
    <t xml:space="preserve">The Council is working with the Shobnall Neighbourhood Plan Group to move things forward as quickly as possible. Discussions are ongoing over recommendations before the Shobnall NP group can agree the Plan. The Council is continuing to supporting the Shobnall NP in taking the inspectors recommendations forward. It is anticipated that a referendum will be undertaken in the spring of 2018. </t>
  </si>
  <si>
    <t>488kg
National residual waste tonnages have been steadily increasing and this trend is reflected in ESBCs figures. Work is being undertaken to establish a countywide funding mechanism to promote recycling and waste minimisation.</t>
  </si>
  <si>
    <t>ESBC is still connected to the Public Sector Network and we continue to meet and exceed the current requirements of the PSN code of connection, whilst making adjustments as requested / directed by central government in preparation for changes in the way their services are delivered in the future. Maintaining our current level of PSN compliance will ensure that ESBC has a good start on meeting any future compliance requirements laid down by the cabinet office.</t>
  </si>
  <si>
    <t>Last project board meeting took place on 3rd November. Monthly updates continue to be provided to the Business Assurance Group. The Market Hall tender has been extended to 19th January to allow any party who expressed an interest to consider supplementary information detailing the improved financial position of the service. The deadline for the detailed submissions for both lots 1 &amp; 2 has been extended to the 7th February.</t>
  </si>
  <si>
    <t>Christmas In Burton campaign, including a series of events and performances, was delivered in conjunction with sponsors throughout November and December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</si>
</sst>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 yyyy"/>
  </numFmts>
  <fonts count="73">
    <font>
      <sz val="11"/>
      <color theme="1"/>
      <name val="Calibri"/>
      <family val="2"/>
      <scheme val="minor"/>
    </font>
    <font>
      <b/>
      <sz val="12"/>
      <color rgb="FF000000"/>
      <name val="Arial"/>
      <family val="2"/>
    </font>
    <font>
      <b/>
      <sz val="12"/>
      <name val="Arial"/>
      <family val="2"/>
    </font>
    <font>
      <b/>
      <sz val="12"/>
      <color theme="0"/>
      <name val="Arial"/>
      <family val="2"/>
    </font>
    <font>
      <sz val="11"/>
      <color theme="0"/>
      <name val="Calibri"/>
      <family val="2"/>
      <scheme val="minor"/>
    </font>
    <font>
      <sz val="10"/>
      <name val="Arial"/>
      <family val="2"/>
    </font>
    <font>
      <sz val="12"/>
      <color theme="1"/>
      <name val="Arial"/>
      <family val="2"/>
    </font>
    <font>
      <b/>
      <sz val="12"/>
      <color theme="1"/>
      <name val="Arial"/>
      <family val="2"/>
    </font>
    <font>
      <b/>
      <sz val="12"/>
      <color rgb="FFFFFFFF"/>
      <name val="Arial"/>
      <family val="2"/>
    </font>
    <font>
      <b/>
      <i/>
      <sz val="12"/>
      <color theme="1"/>
      <name val="Arial"/>
      <family val="2"/>
    </font>
    <font>
      <b/>
      <sz val="14"/>
      <color theme="0"/>
      <name val="Arial"/>
      <family val="2"/>
    </font>
    <font>
      <b/>
      <sz val="11"/>
      <color theme="1"/>
      <name val="Arial"/>
      <family val="2"/>
    </font>
    <font>
      <sz val="11"/>
      <color theme="1"/>
      <name val="Arial"/>
      <family val="2"/>
    </font>
    <font>
      <b/>
      <sz val="14"/>
      <name val="Arial"/>
      <family val="2"/>
    </font>
    <font>
      <sz val="11"/>
      <color theme="0"/>
      <name val="Arial"/>
      <family val="2"/>
    </font>
    <font>
      <b/>
      <u/>
      <sz val="28"/>
      <color theme="0"/>
      <name val="Arial"/>
      <family val="2"/>
    </font>
    <font>
      <b/>
      <u/>
      <sz val="11"/>
      <color theme="0"/>
      <name val="Arial"/>
      <family val="2"/>
    </font>
    <font>
      <b/>
      <sz val="11"/>
      <color theme="0"/>
      <name val="Arial"/>
      <family val="2"/>
    </font>
    <font>
      <b/>
      <i/>
      <sz val="11"/>
      <color theme="0"/>
      <name val="Arial"/>
      <family val="2"/>
    </font>
    <font>
      <b/>
      <sz val="18"/>
      <color rgb="FF000000"/>
      <name val="Arial"/>
      <family val="2"/>
    </font>
    <font>
      <b/>
      <sz val="16"/>
      <color theme="0"/>
      <name val="Arial"/>
      <family val="2"/>
    </font>
    <font>
      <b/>
      <sz val="14"/>
      <color theme="1"/>
      <name val="Arial"/>
      <family val="2"/>
    </font>
    <font>
      <b/>
      <sz val="13"/>
      <color theme="3"/>
      <name val="Calibri"/>
      <family val="2"/>
      <scheme val="minor"/>
    </font>
    <font>
      <b/>
      <sz val="10"/>
      <name val="Arial"/>
      <family val="2"/>
    </font>
    <font>
      <u/>
      <sz val="11"/>
      <color theme="10"/>
      <name val="Calibri"/>
      <family val="2"/>
    </font>
    <font>
      <b/>
      <u/>
      <sz val="14"/>
      <color theme="10"/>
      <name val="Arial"/>
      <family val="2"/>
    </font>
    <font>
      <b/>
      <sz val="11"/>
      <name val="Arial"/>
      <family val="2"/>
    </font>
    <font>
      <b/>
      <sz val="12"/>
      <color rgb="FF002060"/>
      <name val="Arial"/>
      <family val="2"/>
    </font>
    <font>
      <b/>
      <sz val="18"/>
      <color rgb="FF002060"/>
      <name val="Arial"/>
      <family val="2"/>
    </font>
    <font>
      <b/>
      <u/>
      <sz val="12"/>
      <color rgb="FF002060"/>
      <name val="Arial"/>
      <family val="2"/>
    </font>
    <font>
      <b/>
      <u/>
      <sz val="18"/>
      <color rgb="FF002060"/>
      <name val="Arial"/>
      <family val="2"/>
    </font>
    <font>
      <u/>
      <sz val="11"/>
      <color theme="0"/>
      <name val="Calibri"/>
      <family val="2"/>
    </font>
    <font>
      <b/>
      <sz val="20"/>
      <color rgb="FFFFFFFF"/>
      <name val="Arial"/>
      <family val="2"/>
    </font>
    <font>
      <b/>
      <sz val="20"/>
      <color theme="1"/>
      <name val="Arial"/>
      <family val="2"/>
    </font>
    <font>
      <b/>
      <u/>
      <sz val="12"/>
      <color theme="10"/>
      <name val="Arial"/>
      <family val="2"/>
    </font>
    <font>
      <sz val="12"/>
      <name val="Arial"/>
      <family val="2"/>
    </font>
    <font>
      <sz val="9"/>
      <color indexed="81"/>
      <name val="Tahoma"/>
      <family val="2"/>
    </font>
    <font>
      <b/>
      <sz val="9"/>
      <color indexed="81"/>
      <name val="Tahoma"/>
      <family val="2"/>
    </font>
    <font>
      <u/>
      <sz val="14"/>
      <color theme="10"/>
      <name val="Arial"/>
      <family val="2"/>
    </font>
    <font>
      <sz val="10"/>
      <color indexed="81"/>
      <name val="Arial"/>
      <family val="2"/>
    </font>
    <font>
      <b/>
      <sz val="48"/>
      <color rgb="FF000000"/>
      <name val="Arial"/>
      <family val="2"/>
    </font>
    <font>
      <b/>
      <sz val="48"/>
      <color rgb="FF000000"/>
      <name val="ZapfDingbats"/>
      <family val="5"/>
      <charset val="2"/>
    </font>
    <font>
      <u/>
      <sz val="12"/>
      <color theme="10"/>
      <name val="Calibri"/>
      <family val="2"/>
    </font>
    <font>
      <sz val="12"/>
      <color theme="1"/>
      <name val="Calibri"/>
      <family val="2"/>
      <scheme val="minor"/>
    </font>
    <font>
      <sz val="11"/>
      <name val="Arial"/>
      <family val="2"/>
    </font>
    <font>
      <b/>
      <sz val="16"/>
      <name val="Arial"/>
      <family val="2"/>
    </font>
    <font>
      <sz val="11"/>
      <name val="Calibri"/>
      <family val="2"/>
      <scheme val="minor"/>
    </font>
    <font>
      <b/>
      <sz val="18"/>
      <name val="Arial"/>
      <family val="2"/>
    </font>
    <font>
      <sz val="16"/>
      <name val="Arial"/>
      <family val="2"/>
    </font>
    <font>
      <sz val="8"/>
      <color theme="1"/>
      <name val="Times New Roman"/>
      <family val="1"/>
    </font>
    <font>
      <sz val="12"/>
      <color theme="0"/>
      <name val="Arial"/>
      <family val="2"/>
    </font>
    <font>
      <b/>
      <sz val="18"/>
      <color theme="0"/>
      <name val="Arial"/>
      <family val="2"/>
    </font>
    <font>
      <sz val="12"/>
      <color rgb="FF000000"/>
      <name val="Arial"/>
      <family val="2"/>
    </font>
    <font>
      <b/>
      <shadow/>
      <sz val="16"/>
      <color rgb="FFFFFFFF"/>
      <name val="Arial"/>
      <family val="2"/>
    </font>
    <font>
      <sz val="16"/>
      <color theme="1"/>
      <name val="Calibri"/>
      <family val="2"/>
      <scheme val="minor"/>
    </font>
    <font>
      <sz val="11"/>
      <color theme="1"/>
      <name val="Wingdings"/>
      <charset val="2"/>
    </font>
    <font>
      <sz val="72"/>
      <color theme="1"/>
      <name val="Wingdings"/>
      <charset val="2"/>
    </font>
    <font>
      <sz val="72"/>
      <name val="Wingdings"/>
      <charset val="2"/>
    </font>
    <font>
      <b/>
      <u/>
      <sz val="14"/>
      <color rgb="FF0066FF"/>
      <name val="Calibri"/>
      <family val="2"/>
    </font>
    <font>
      <sz val="11"/>
      <color rgb="FF0066FF"/>
      <name val="Calibri"/>
      <family val="2"/>
      <scheme val="minor"/>
    </font>
    <font>
      <b/>
      <u/>
      <sz val="16"/>
      <color theme="10"/>
      <name val="Arial"/>
      <family val="2"/>
    </font>
    <font>
      <b/>
      <sz val="16"/>
      <color theme="1"/>
      <name val="Arial"/>
      <family val="2"/>
    </font>
    <font>
      <sz val="12"/>
      <color theme="0"/>
      <name val="Calibri"/>
      <family val="2"/>
      <scheme val="minor"/>
    </font>
    <font>
      <sz val="16"/>
      <color theme="0"/>
      <name val="Arial"/>
      <family val="2"/>
    </font>
    <font>
      <sz val="12"/>
      <name val="Calibri"/>
      <family val="2"/>
      <scheme val="minor"/>
    </font>
    <font>
      <b/>
      <u/>
      <sz val="11"/>
      <color rgb="FF0066FF"/>
      <name val="Calibri"/>
      <family val="2"/>
    </font>
    <font>
      <b/>
      <sz val="12"/>
      <color rgb="FFFF0000"/>
      <name val="Arial"/>
      <family val="2"/>
    </font>
    <font>
      <b/>
      <sz val="48"/>
      <name val="Arial"/>
      <family val="2"/>
    </font>
    <font>
      <sz val="11"/>
      <color theme="1"/>
      <name val="Calibri"/>
      <family val="2"/>
      <scheme val="minor"/>
    </font>
    <font>
      <b/>
      <sz val="14"/>
      <color rgb="FF000000"/>
      <name val="Arial"/>
      <family val="2"/>
    </font>
    <font>
      <sz val="14"/>
      <name val="Wingdings"/>
      <charset val="2"/>
    </font>
    <font>
      <sz val="14"/>
      <color theme="1"/>
      <name val="Calibri"/>
      <family val="2"/>
      <scheme val="minor"/>
    </font>
    <font>
      <i/>
      <sz val="12"/>
      <name val="Arial"/>
      <family val="2"/>
    </font>
  </fonts>
  <fills count="23">
    <fill>
      <patternFill patternType="none"/>
    </fill>
    <fill>
      <patternFill patternType="gray125"/>
    </fill>
    <fill>
      <patternFill patternType="solid">
        <fgColor rgb="FF002060"/>
        <bgColor indexed="64"/>
      </patternFill>
    </fill>
    <fill>
      <patternFill patternType="solid">
        <fgColor theme="1" tint="4.9989318521683403E-2"/>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rgb="FFFFFF99"/>
        <bgColor indexed="64"/>
      </patternFill>
    </fill>
    <fill>
      <patternFill patternType="solid">
        <fgColor rgb="FF91F789"/>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863D"/>
        <bgColor indexed="64"/>
      </patternFill>
    </fill>
    <fill>
      <patternFill patternType="solid">
        <fgColor rgb="FFD9FFD9"/>
        <bgColor indexed="64"/>
      </patternFill>
    </fill>
    <fill>
      <patternFill patternType="solid">
        <fgColor rgb="FF00B050"/>
        <bgColor indexed="64"/>
      </patternFill>
    </fill>
    <fill>
      <patternFill patternType="solid">
        <fgColor rgb="FF00B050"/>
        <bgColor rgb="FF000000"/>
      </patternFill>
    </fill>
    <fill>
      <patternFill patternType="solid">
        <fgColor rgb="FFCCC0DA"/>
        <bgColor indexed="64"/>
      </patternFill>
    </fill>
    <fill>
      <patternFill patternType="solid">
        <fgColor rgb="FFEFEFFF"/>
        <bgColor indexed="64"/>
      </patternFill>
    </fill>
    <fill>
      <patternFill patternType="solid">
        <fgColor theme="0"/>
        <bgColor rgb="FF000000"/>
      </patternFill>
    </fill>
  </fills>
  <borders count="52">
    <border>
      <left/>
      <right/>
      <top/>
      <bottom/>
      <diagonal/>
    </border>
    <border>
      <left/>
      <right style="thick">
        <color rgb="FFFFFFFF"/>
      </right>
      <top/>
      <bottom style="thick">
        <color rgb="FFFFFFF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style="thick">
        <color theme="4" tint="0.499984740745262"/>
      </top>
      <bottom/>
      <diagonal/>
    </border>
    <border>
      <left style="thick">
        <color rgb="FFFFFFFF"/>
      </left>
      <right style="thick">
        <color rgb="FFFFFFFF"/>
      </right>
      <top/>
      <bottom style="thick">
        <color rgb="FFFFFFFF"/>
      </bottom>
      <diagonal/>
    </border>
    <border>
      <left style="thin">
        <color indexed="64"/>
      </left>
      <right style="thin">
        <color indexed="64"/>
      </right>
      <top/>
      <bottom/>
      <diagonal/>
    </border>
    <border>
      <left/>
      <right style="thick">
        <color rgb="FFFFFFFF"/>
      </right>
      <top/>
      <bottom/>
      <diagonal/>
    </border>
    <border>
      <left style="thin">
        <color indexed="64"/>
      </left>
      <right/>
      <top/>
      <bottom style="thin">
        <color indexed="64"/>
      </bottom>
      <diagonal/>
    </border>
    <border>
      <left/>
      <right/>
      <top/>
      <bottom style="thin">
        <color indexed="64"/>
      </bottom>
      <diagonal/>
    </border>
    <border>
      <left style="thick">
        <color rgb="FFFFC000"/>
      </left>
      <right style="thick">
        <color rgb="FFFFC000"/>
      </right>
      <top style="thick">
        <color rgb="FFFFC000"/>
      </top>
      <bottom style="thick">
        <color rgb="FFFFC000"/>
      </bottom>
      <diagonal/>
    </border>
    <border>
      <left/>
      <right/>
      <top style="thin">
        <color indexed="64"/>
      </top>
      <bottom/>
      <diagonal/>
    </border>
    <border>
      <left style="thick">
        <color rgb="FF00863D"/>
      </left>
      <right style="thick">
        <color rgb="FF00863D"/>
      </right>
      <top style="thick">
        <color rgb="FF00863D"/>
      </top>
      <bottom style="thick">
        <color rgb="FF00863D"/>
      </bottom>
      <diagonal/>
    </border>
    <border>
      <left style="thick">
        <color rgb="FFFFFFFF"/>
      </left>
      <right/>
      <top/>
      <bottom style="thick">
        <color rgb="FFFFFFFF"/>
      </bottom>
      <diagonal/>
    </border>
    <border>
      <left style="thick">
        <color rgb="FF00863D"/>
      </left>
      <right/>
      <top style="thick">
        <color rgb="FF00863D"/>
      </top>
      <bottom style="thick">
        <color rgb="FF00863D"/>
      </bottom>
      <diagonal/>
    </border>
    <border>
      <left style="thick">
        <color rgb="FFFF0000"/>
      </left>
      <right style="thick">
        <color rgb="FFFF0000"/>
      </right>
      <top style="thick">
        <color rgb="FFFF0000"/>
      </top>
      <bottom style="thick">
        <color rgb="FFFF0000"/>
      </bottom>
      <diagonal/>
    </border>
    <border>
      <left style="thick">
        <color rgb="FFFFC000"/>
      </left>
      <right/>
      <top style="thick">
        <color rgb="FFFFC000"/>
      </top>
      <bottom style="thick">
        <color rgb="FFFFC000"/>
      </bottom>
      <diagonal/>
    </border>
    <border>
      <left/>
      <right style="thick">
        <color rgb="FFFFC000"/>
      </right>
      <top style="thick">
        <color rgb="FFFFC000"/>
      </top>
      <bottom style="thick">
        <color rgb="FFFFC000"/>
      </bottom>
      <diagonal/>
    </border>
    <border>
      <left/>
      <right style="thick">
        <color rgb="FF00863D"/>
      </right>
      <top style="thick">
        <color rgb="FF00863D"/>
      </top>
      <bottom style="thick">
        <color rgb="FF00863D"/>
      </bottom>
      <diagonal/>
    </border>
    <border>
      <left style="thick">
        <color rgb="FF00863D"/>
      </left>
      <right/>
      <top style="thick">
        <color rgb="FFFFC000"/>
      </top>
      <bottom style="thick">
        <color rgb="FFFFC000"/>
      </bottom>
      <diagonal/>
    </border>
    <border>
      <left/>
      <right/>
      <top style="thick">
        <color rgb="FFFFC000"/>
      </top>
      <bottom style="thick">
        <color rgb="FFFFC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FFFF"/>
      </left>
      <right/>
      <top/>
      <bottom/>
      <diagonal/>
    </border>
    <border>
      <left style="thick">
        <color rgb="FFFFFFFF"/>
      </left>
      <right style="thick">
        <color rgb="FF00863D"/>
      </right>
      <top style="thick">
        <color rgb="FFFFFFFF"/>
      </top>
      <bottom/>
      <diagonal/>
    </border>
    <border>
      <left style="thick">
        <color rgb="FFFFFFFF"/>
      </left>
      <right style="thick">
        <color rgb="FF00863D"/>
      </right>
      <top/>
      <bottom style="thick">
        <color rgb="FFFFFFFF"/>
      </bottom>
      <diagonal/>
    </border>
    <border>
      <left/>
      <right style="thick">
        <color rgb="FFFFFFFF"/>
      </right>
      <top style="thick">
        <color rgb="FFFFFFFF"/>
      </top>
      <bottom/>
      <diagonal/>
    </border>
    <border>
      <left style="thick">
        <color rgb="FFFFFFFF"/>
      </left>
      <right style="thick">
        <color rgb="FFFFFFFF"/>
      </right>
      <top style="thick">
        <color rgb="FFFFFFFF"/>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5" fillId="0" borderId="0"/>
    <xf numFmtId="0" fontId="22" fillId="0" borderId="8" applyNumberFormat="0" applyFill="0" applyAlignment="0" applyProtection="0"/>
    <xf numFmtId="0" fontId="24" fillId="0" borderId="0" applyNumberFormat="0" applyFill="0" applyBorder="0" applyAlignment="0" applyProtection="0">
      <alignment vertical="top"/>
      <protection locked="0"/>
    </xf>
    <xf numFmtId="9" fontId="68" fillId="0" borderId="0" applyFont="0" applyFill="0" applyBorder="0" applyAlignment="0" applyProtection="0"/>
  </cellStyleXfs>
  <cellXfs count="518">
    <xf numFmtId="0" fontId="0" fillId="0" borderId="0" xfId="0"/>
    <xf numFmtId="0" fontId="12" fillId="8" borderId="0" xfId="0" applyFont="1" applyFill="1" applyBorder="1" applyAlignment="1">
      <alignment horizontal="center" vertical="center"/>
    </xf>
    <xf numFmtId="0" fontId="15" fillId="2" borderId="0" xfId="0" applyFont="1" applyFill="1"/>
    <xf numFmtId="0" fontId="4" fillId="2" borderId="0" xfId="0" applyFont="1" applyFill="1"/>
    <xf numFmtId="0" fontId="14" fillId="2" borderId="0" xfId="0" applyFont="1" applyFill="1"/>
    <xf numFmtId="0" fontId="16" fillId="2" borderId="0" xfId="0" applyFont="1" applyFill="1"/>
    <xf numFmtId="0" fontId="14" fillId="2" borderId="0" xfId="0" applyFont="1" applyFill="1" applyBorder="1"/>
    <xf numFmtId="0" fontId="17" fillId="2" borderId="3" xfId="0" applyFont="1" applyFill="1" applyBorder="1"/>
    <xf numFmtId="10" fontId="14" fillId="2" borderId="0" xfId="0" applyNumberFormat="1" applyFont="1" applyFill="1" applyBorder="1" applyAlignment="1">
      <alignment horizontal="center" vertical="center"/>
    </xf>
    <xf numFmtId="0" fontId="18" fillId="2" borderId="0" xfId="0" applyFont="1" applyFill="1" applyBorder="1"/>
    <xf numFmtId="0" fontId="17" fillId="2" borderId="0" xfId="0" applyFont="1" applyFill="1"/>
    <xf numFmtId="0" fontId="17" fillId="2" borderId="0" xfId="0" applyFont="1" applyFill="1" applyBorder="1"/>
    <xf numFmtId="0" fontId="23" fillId="8" borderId="8" xfId="2" applyFont="1" applyFill="1" applyAlignment="1">
      <alignment horizontal="left" vertical="center" wrapText="1"/>
    </xf>
    <xf numFmtId="0" fontId="5" fillId="8" borderId="0" xfId="0" applyFont="1" applyFill="1" applyBorder="1" applyAlignment="1">
      <alignment horizontal="left" vertical="center" wrapText="1"/>
    </xf>
    <xf numFmtId="0" fontId="23" fillId="8" borderId="0" xfId="2" applyFont="1" applyFill="1" applyBorder="1" applyAlignment="1">
      <alignment horizontal="center" vertical="center" wrapText="1"/>
    </xf>
    <xf numFmtId="0" fontId="23" fillId="8" borderId="8" xfId="2" applyFont="1" applyFill="1" applyAlignment="1">
      <alignment horizontal="center" vertical="center" wrapText="1"/>
    </xf>
    <xf numFmtId="0" fontId="5" fillId="8" borderId="0" xfId="0" applyFont="1" applyFill="1" applyBorder="1" applyAlignment="1">
      <alignment horizontal="center" vertical="center" wrapText="1"/>
    </xf>
    <xf numFmtId="0" fontId="23" fillId="9" borderId="8" xfId="2" applyFont="1" applyFill="1" applyAlignment="1">
      <alignment horizontal="left" vertical="center" wrapText="1"/>
    </xf>
    <xf numFmtId="0" fontId="25" fillId="9" borderId="8" xfId="3" applyFont="1" applyFill="1" applyBorder="1" applyAlignment="1" applyProtection="1">
      <alignment horizontal="center" vertical="center" wrapText="1"/>
    </xf>
    <xf numFmtId="0" fontId="2" fillId="9" borderId="8" xfId="2" applyFont="1" applyFill="1" applyAlignment="1">
      <alignment horizontal="left" vertical="center"/>
    </xf>
    <xf numFmtId="0" fontId="26" fillId="9" borderId="8" xfId="2" applyFont="1" applyFill="1" applyAlignment="1">
      <alignment horizontal="left" vertical="center"/>
    </xf>
    <xf numFmtId="0" fontId="29" fillId="8" borderId="8" xfId="2" applyFont="1" applyFill="1" applyAlignment="1">
      <alignment horizontal="left" vertical="center"/>
    </xf>
    <xf numFmtId="0" fontId="31" fillId="2" borderId="0" xfId="3" applyFont="1" applyFill="1" applyBorder="1" applyAlignment="1" applyProtection="1">
      <alignment horizontal="center"/>
    </xf>
    <xf numFmtId="0" fontId="0" fillId="0" borderId="0" xfId="0" applyAlignment="1">
      <alignment vertical="center"/>
    </xf>
    <xf numFmtId="0" fontId="4" fillId="0" borderId="0" xfId="0" applyFont="1" applyAlignment="1">
      <alignment vertical="center"/>
    </xf>
    <xf numFmtId="0" fontId="25" fillId="9" borderId="8" xfId="3" applyFont="1" applyFill="1" applyBorder="1" applyAlignment="1" applyProtection="1">
      <alignment horizontal="left" vertical="center" wrapText="1"/>
    </xf>
    <xf numFmtId="0" fontId="2" fillId="8" borderId="8" xfId="2" applyFont="1" applyFill="1" applyAlignment="1">
      <alignment horizontal="center" vertical="center" wrapText="1"/>
    </xf>
    <xf numFmtId="0" fontId="34" fillId="11" borderId="8" xfId="3" applyFont="1" applyFill="1" applyBorder="1" applyAlignment="1" applyProtection="1">
      <alignment horizontal="center" vertical="center" wrapText="1"/>
    </xf>
    <xf numFmtId="0" fontId="2" fillId="8" borderId="0" xfId="2" applyFont="1" applyFill="1" applyBorder="1" applyAlignment="1">
      <alignment horizontal="center" vertical="center" wrapText="1"/>
    </xf>
    <xf numFmtId="0" fontId="35" fillId="8" borderId="0" xfId="0" applyFont="1" applyFill="1" applyBorder="1" applyAlignment="1">
      <alignment horizontal="center" vertical="center" wrapText="1"/>
    </xf>
    <xf numFmtId="0" fontId="0" fillId="8" borderId="0" xfId="0" applyFill="1" applyAlignment="1">
      <alignment vertical="center"/>
    </xf>
    <xf numFmtId="0" fontId="4" fillId="8" borderId="0" xfId="0" applyFont="1" applyFill="1" applyAlignment="1">
      <alignment vertical="center"/>
    </xf>
    <xf numFmtId="0" fontId="34" fillId="8" borderId="8" xfId="3" applyFont="1" applyFill="1" applyBorder="1" applyAlignment="1" applyProtection="1">
      <alignment horizontal="center" vertical="center" wrapText="1"/>
    </xf>
    <xf numFmtId="0" fontId="38" fillId="8" borderId="0" xfId="3" applyFont="1" applyFill="1" applyBorder="1" applyAlignment="1" applyProtection="1">
      <alignment horizontal="center" vertical="center"/>
    </xf>
    <xf numFmtId="0" fontId="0" fillId="8" borderId="0" xfId="0" applyFill="1" applyProtection="1"/>
    <xf numFmtId="0" fontId="0" fillId="0" borderId="0" xfId="0" applyProtection="1"/>
    <xf numFmtId="0" fontId="13" fillId="8" borderId="8" xfId="2" applyFont="1" applyFill="1" applyAlignment="1">
      <alignment horizontal="center" vertical="center" wrapText="1"/>
    </xf>
    <xf numFmtId="0" fontId="13" fillId="8" borderId="0" xfId="2"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12" borderId="8" xfId="3" applyFont="1" applyFill="1" applyBorder="1" applyAlignment="1" applyProtection="1">
      <alignment horizontal="center" vertical="center" wrapText="1"/>
    </xf>
    <xf numFmtId="0" fontId="13" fillId="10" borderId="8" xfId="3" applyFont="1" applyFill="1" applyBorder="1" applyAlignment="1" applyProtection="1">
      <alignment horizontal="center" vertical="center" wrapText="1"/>
    </xf>
    <xf numFmtId="0" fontId="41" fillId="8" borderId="1" xfId="0" applyFont="1" applyFill="1" applyBorder="1" applyAlignment="1" applyProtection="1">
      <alignment horizontal="center" vertical="center" wrapText="1"/>
    </xf>
    <xf numFmtId="0" fontId="40" fillId="8" borderId="1" xfId="0" applyFont="1" applyFill="1" applyBorder="1" applyAlignment="1" applyProtection="1">
      <alignment horizontal="center" vertical="center" wrapText="1"/>
    </xf>
    <xf numFmtId="0" fontId="0" fillId="0" borderId="0" xfId="0" applyAlignment="1" applyProtection="1">
      <alignment wrapText="1"/>
    </xf>
    <xf numFmtId="0" fontId="0" fillId="8" borderId="0" xfId="0" applyFill="1" applyAlignment="1" applyProtection="1">
      <alignment horizontal="left" vertical="top" wrapText="1"/>
    </xf>
    <xf numFmtId="0" fontId="0" fillId="0" borderId="0" xfId="0" applyAlignment="1" applyProtection="1">
      <alignment horizontal="left" vertical="top" wrapText="1"/>
    </xf>
    <xf numFmtId="10" fontId="6" fillId="8" borderId="0" xfId="0" applyNumberFormat="1" applyFont="1" applyFill="1" applyBorder="1" applyAlignment="1">
      <alignment horizontal="center" vertical="center"/>
    </xf>
    <xf numFmtId="0" fontId="6" fillId="8" borderId="0" xfId="0" applyFont="1" applyFill="1" applyBorder="1" applyAlignment="1">
      <alignment horizontal="center" vertical="center"/>
    </xf>
    <xf numFmtId="0" fontId="2" fillId="0" borderId="3" xfId="0" applyFont="1" applyFill="1" applyBorder="1" applyAlignment="1">
      <alignment vertical="center" wrapText="1"/>
    </xf>
    <xf numFmtId="0" fontId="6" fillId="8" borderId="3" xfId="0" applyFont="1" applyFill="1" applyBorder="1" applyAlignment="1">
      <alignment vertical="center" wrapText="1"/>
    </xf>
    <xf numFmtId="0" fontId="9" fillId="8" borderId="3" xfId="0" applyFont="1" applyFill="1" applyBorder="1" applyAlignment="1">
      <alignment vertical="center" wrapText="1"/>
    </xf>
    <xf numFmtId="10" fontId="7" fillId="8" borderId="0" xfId="0" applyNumberFormat="1" applyFont="1" applyFill="1" applyBorder="1" applyAlignment="1">
      <alignment horizontal="center" vertical="center"/>
    </xf>
    <xf numFmtId="0" fontId="6" fillId="8" borderId="0" xfId="0" applyFont="1" applyFill="1" applyBorder="1" applyAlignment="1">
      <alignment vertical="center"/>
    </xf>
    <xf numFmtId="0" fontId="2" fillId="0" borderId="0" xfId="0" applyFont="1" applyFill="1" applyBorder="1" applyAlignment="1">
      <alignment vertical="center" wrapText="1"/>
    </xf>
    <xf numFmtId="10" fontId="21" fillId="0" borderId="0" xfId="0" applyNumberFormat="1" applyFont="1" applyFill="1" applyBorder="1" applyAlignment="1">
      <alignment horizontal="center" vertical="center" wrapText="1"/>
    </xf>
    <xf numFmtId="0" fontId="43" fillId="0" borderId="0" xfId="0" applyFont="1" applyAlignment="1" applyProtection="1">
      <alignment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vertical="center" wrapText="1"/>
    </xf>
    <xf numFmtId="0" fontId="3" fillId="2" borderId="0" xfId="0" applyFont="1" applyFill="1" applyBorder="1" applyAlignment="1">
      <alignment horizontal="center" vertical="center" wrapText="1"/>
    </xf>
    <xf numFmtId="0" fontId="14" fillId="8" borderId="0" xfId="0" applyFont="1" applyFill="1" applyAlignment="1">
      <alignment vertical="center"/>
    </xf>
    <xf numFmtId="0" fontId="7" fillId="8" borderId="0" xfId="0" applyFont="1" applyFill="1" applyAlignment="1">
      <alignment horizontal="center" vertical="center"/>
    </xf>
    <xf numFmtId="0" fontId="12" fillId="8" borderId="0" xfId="0" applyFont="1" applyFill="1" applyAlignment="1">
      <alignment vertical="center"/>
    </xf>
    <xf numFmtId="0" fontId="12" fillId="0" borderId="0" xfId="0" applyFont="1" applyFill="1" applyBorder="1" applyAlignment="1">
      <alignment vertical="center"/>
    </xf>
    <xf numFmtId="0" fontId="7" fillId="0" borderId="3" xfId="0" applyFont="1" applyFill="1" applyBorder="1" applyAlignment="1">
      <alignment vertical="center" wrapText="1"/>
    </xf>
    <xf numFmtId="0" fontId="12" fillId="8" borderId="0" xfId="0" applyFont="1" applyFill="1" applyBorder="1" applyAlignment="1">
      <alignment vertical="center"/>
    </xf>
    <xf numFmtId="0" fontId="1" fillId="0" borderId="3" xfId="0" applyFont="1" applyFill="1" applyBorder="1" applyAlignment="1">
      <alignment vertical="center" wrapText="1"/>
    </xf>
    <xf numFmtId="0" fontId="9" fillId="8" borderId="0" xfId="0" applyFont="1" applyFill="1" applyBorder="1" applyAlignment="1">
      <alignment vertical="center" wrapText="1"/>
    </xf>
    <xf numFmtId="0" fontId="20" fillId="2" borderId="0" xfId="0" applyFont="1" applyFill="1" applyBorder="1" applyAlignment="1">
      <alignment vertical="center" wrapText="1"/>
    </xf>
    <xf numFmtId="0" fontId="7" fillId="8" borderId="0" xfId="0" applyFont="1" applyFill="1" applyAlignment="1">
      <alignment vertical="center"/>
    </xf>
    <xf numFmtId="0" fontId="11" fillId="8" borderId="0" xfId="0" applyFont="1" applyFill="1" applyAlignment="1">
      <alignment vertical="center"/>
    </xf>
    <xf numFmtId="0" fontId="3" fillId="2" borderId="3" xfId="0" applyFont="1" applyFill="1" applyBorder="1" applyAlignment="1">
      <alignment vertical="center" wrapText="1"/>
    </xf>
    <xf numFmtId="0" fontId="2" fillId="14" borderId="3" xfId="0" applyFont="1" applyFill="1" applyBorder="1" applyAlignment="1">
      <alignment vertical="center" wrapText="1"/>
    </xf>
    <xf numFmtId="0" fontId="7" fillId="0" borderId="7" xfId="0" applyFont="1" applyFill="1" applyBorder="1" applyAlignment="1">
      <alignment vertical="center" wrapText="1"/>
    </xf>
    <xf numFmtId="0" fontId="7" fillId="0" borderId="0" xfId="0" applyFont="1" applyFill="1" applyBorder="1" applyAlignment="1">
      <alignment vertical="center" wrapText="1"/>
    </xf>
    <xf numFmtId="10" fontId="7" fillId="0" borderId="0" xfId="0" applyNumberFormat="1" applyFont="1" applyFill="1" applyBorder="1" applyAlignment="1">
      <alignment vertical="center" wrapText="1"/>
    </xf>
    <xf numFmtId="10" fontId="7" fillId="0" borderId="5" xfId="0" applyNumberFormat="1" applyFont="1" applyFill="1" applyBorder="1" applyAlignment="1">
      <alignment vertical="center" wrapText="1"/>
    </xf>
    <xf numFmtId="10" fontId="7" fillId="0" borderId="6" xfId="0" applyNumberFormat="1" applyFont="1" applyFill="1" applyBorder="1" applyAlignment="1">
      <alignment vertical="center" wrapText="1"/>
    </xf>
    <xf numFmtId="10" fontId="7" fillId="0" borderId="16" xfId="0" applyNumberFormat="1" applyFont="1" applyFill="1" applyBorder="1" applyAlignment="1">
      <alignment vertical="center" wrapText="1"/>
    </xf>
    <xf numFmtId="10" fontId="7" fillId="0" borderId="3" xfId="0" applyNumberFormat="1" applyFont="1" applyFill="1" applyBorder="1" applyAlignment="1">
      <alignment vertical="center"/>
    </xf>
    <xf numFmtId="10" fontId="7" fillId="8" borderId="0" xfId="0" applyNumberFormat="1" applyFont="1" applyFill="1" applyBorder="1" applyAlignment="1">
      <alignment vertical="center"/>
    </xf>
    <xf numFmtId="10" fontId="6" fillId="8" borderId="0" xfId="0" applyNumberFormat="1" applyFont="1" applyFill="1" applyBorder="1" applyAlignment="1">
      <alignment vertical="center"/>
    </xf>
    <xf numFmtId="10" fontId="6" fillId="8" borderId="3" xfId="0" applyNumberFormat="1" applyFont="1" applyFill="1" applyBorder="1" applyAlignment="1">
      <alignment vertical="center"/>
    </xf>
    <xf numFmtId="0" fontId="7" fillId="8" borderId="3" xfId="0" applyFont="1" applyFill="1" applyBorder="1" applyAlignment="1">
      <alignment vertical="center"/>
    </xf>
    <xf numFmtId="0" fontId="6" fillId="2" borderId="0" xfId="0" applyFont="1" applyFill="1" applyAlignment="1">
      <alignment horizontal="center" vertical="center"/>
    </xf>
    <xf numFmtId="0" fontId="2" fillId="14" borderId="3" xfId="0" applyFont="1" applyFill="1" applyBorder="1" applyAlignment="1">
      <alignment horizontal="center" vertical="center" wrapText="1"/>
    </xf>
    <xf numFmtId="0" fontId="12" fillId="8" borderId="0" xfId="0" applyFont="1" applyFill="1" applyAlignment="1">
      <alignment horizontal="center" vertical="center"/>
    </xf>
    <xf numFmtId="0" fontId="3" fillId="2" borderId="14" xfId="0" applyFont="1" applyFill="1" applyBorder="1" applyAlignment="1">
      <alignment horizontal="center" vertical="center"/>
    </xf>
    <xf numFmtId="0" fontId="2" fillId="8" borderId="3" xfId="0" applyFont="1" applyFill="1" applyBorder="1" applyAlignment="1">
      <alignment vertical="center"/>
    </xf>
    <xf numFmtId="0" fontId="44" fillId="8" borderId="0" xfId="0" applyFont="1" applyFill="1" applyAlignment="1">
      <alignment vertical="center"/>
    </xf>
    <xf numFmtId="0" fontId="6" fillId="8" borderId="0" xfId="0" applyFont="1" applyFill="1" applyAlignment="1" applyProtection="1">
      <alignment horizontal="left" vertical="top"/>
    </xf>
    <xf numFmtId="9" fontId="20" fillId="2" borderId="0" xfId="0" applyNumberFormat="1" applyFont="1" applyFill="1" applyBorder="1" applyAlignment="1">
      <alignment horizontal="center" vertical="center" wrapText="1"/>
    </xf>
    <xf numFmtId="9" fontId="11" fillId="8" borderId="0" xfId="0" applyNumberFormat="1" applyFont="1" applyFill="1" applyAlignment="1">
      <alignment horizontal="center" vertical="center"/>
    </xf>
    <xf numFmtId="9" fontId="6" fillId="2" borderId="0" xfId="0" applyNumberFormat="1" applyFont="1" applyFill="1" applyAlignment="1">
      <alignment horizontal="center" vertical="center"/>
    </xf>
    <xf numFmtId="9" fontId="2" fillId="14" borderId="3"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12" fillId="8" borderId="0" xfId="0" applyNumberFormat="1" applyFont="1" applyFill="1" applyAlignment="1">
      <alignment horizontal="center" vertical="center"/>
    </xf>
    <xf numFmtId="9" fontId="12" fillId="8" borderId="0" xfId="0" applyNumberFormat="1" applyFont="1" applyFill="1" applyBorder="1" applyAlignment="1">
      <alignment horizontal="center" vertical="center"/>
    </xf>
    <xf numFmtId="9" fontId="24" fillId="8" borderId="0" xfId="3" applyNumberFormat="1" applyFill="1" applyBorder="1" applyAlignment="1" applyProtection="1">
      <alignment horizontal="center" vertical="center"/>
    </xf>
    <xf numFmtId="9" fontId="7" fillId="0" borderId="0" xfId="0" applyNumberFormat="1" applyFont="1" applyFill="1" applyBorder="1" applyAlignment="1">
      <alignment horizontal="center" vertical="center" wrapText="1"/>
    </xf>
    <xf numFmtId="9" fontId="6" fillId="8" borderId="0" xfId="0" applyNumberFormat="1" applyFont="1" applyFill="1" applyBorder="1" applyAlignment="1">
      <alignment horizontal="center" vertical="center"/>
    </xf>
    <xf numFmtId="9" fontId="6" fillId="8" borderId="0" xfId="0" applyNumberFormat="1" applyFont="1" applyFill="1" applyAlignment="1">
      <alignment horizontal="center" vertical="center"/>
    </xf>
    <xf numFmtId="9" fontId="3" fillId="2" borderId="14" xfId="0" applyNumberFormat="1" applyFont="1" applyFill="1" applyBorder="1" applyAlignment="1">
      <alignment horizontal="center" vertical="center"/>
    </xf>
    <xf numFmtId="0" fontId="20" fillId="2" borderId="0" xfId="0" applyFont="1" applyFill="1" applyBorder="1" applyAlignment="1">
      <alignment horizontal="center" vertical="center" wrapText="1"/>
    </xf>
    <xf numFmtId="0" fontId="11" fillId="8" borderId="0" xfId="0" applyFont="1" applyFill="1" applyAlignment="1">
      <alignment horizontal="center" vertical="center"/>
    </xf>
    <xf numFmtId="0" fontId="6" fillId="8" borderId="0" xfId="0" applyFont="1" applyFill="1" applyAlignment="1">
      <alignment horizontal="center" vertical="center"/>
    </xf>
    <xf numFmtId="0" fontId="42" fillId="8" borderId="0" xfId="3" applyFont="1" applyFill="1" applyBorder="1" applyAlignment="1" applyProtection="1">
      <alignment horizontal="center" vertical="center"/>
    </xf>
    <xf numFmtId="9" fontId="15" fillId="2" borderId="0" xfId="0" applyNumberFormat="1" applyFont="1" applyFill="1"/>
    <xf numFmtId="9" fontId="4" fillId="2" borderId="0" xfId="0" applyNumberFormat="1" applyFont="1" applyFill="1"/>
    <xf numFmtId="9" fontId="14" fillId="2" borderId="0" xfId="0" applyNumberFormat="1" applyFont="1" applyFill="1"/>
    <xf numFmtId="9" fontId="17" fillId="2" borderId="3" xfId="0" applyNumberFormat="1" applyFont="1" applyFill="1" applyBorder="1" applyAlignment="1">
      <alignment horizontal="center"/>
    </xf>
    <xf numFmtId="9" fontId="17" fillId="2" borderId="0" xfId="0" applyNumberFormat="1" applyFont="1" applyFill="1" applyBorder="1" applyAlignment="1">
      <alignment horizontal="center"/>
    </xf>
    <xf numFmtId="9" fontId="14" fillId="2" borderId="0" xfId="0" applyNumberFormat="1" applyFont="1" applyFill="1" applyBorder="1" applyAlignment="1">
      <alignment horizontal="center" vertical="center"/>
    </xf>
    <xf numFmtId="9" fontId="14" fillId="2" borderId="0" xfId="0" applyNumberFormat="1" applyFont="1" applyFill="1" applyBorder="1"/>
    <xf numFmtId="9" fontId="17" fillId="2" borderId="0" xfId="0" applyNumberFormat="1" applyFont="1" applyFill="1"/>
    <xf numFmtId="0" fontId="46" fillId="8" borderId="0" xfId="0" applyFont="1" applyFill="1" applyAlignment="1">
      <alignment vertical="center"/>
    </xf>
    <xf numFmtId="0" fontId="46" fillId="0" borderId="0" xfId="0" applyFont="1" applyAlignment="1">
      <alignment vertical="center"/>
    </xf>
    <xf numFmtId="0" fontId="45" fillId="2" borderId="0" xfId="0" applyFont="1" applyFill="1" applyBorder="1" applyAlignment="1">
      <alignment vertical="center" wrapText="1"/>
    </xf>
    <xf numFmtId="0" fontId="20" fillId="2" borderId="28" xfId="0" applyFont="1" applyFill="1" applyBorder="1" applyAlignment="1">
      <alignment vertical="center" wrapText="1"/>
    </xf>
    <xf numFmtId="0" fontId="20" fillId="2" borderId="12" xfId="0" applyFont="1" applyFill="1" applyBorder="1" applyAlignment="1">
      <alignment vertical="center" wrapText="1"/>
    </xf>
    <xf numFmtId="9" fontId="0" fillId="8" borderId="0" xfId="0" applyNumberFormat="1" applyFill="1" applyAlignment="1">
      <alignment vertical="center"/>
    </xf>
    <xf numFmtId="9" fontId="20" fillId="2" borderId="0" xfId="0" applyNumberFormat="1" applyFont="1" applyFill="1" applyBorder="1" applyAlignment="1">
      <alignment vertical="center" wrapText="1"/>
    </xf>
    <xf numFmtId="9" fontId="45" fillId="8" borderId="17" xfId="0" applyNumberFormat="1" applyFont="1" applyFill="1" applyBorder="1" applyAlignment="1">
      <alignment horizontal="center" vertical="center" wrapText="1"/>
    </xf>
    <xf numFmtId="9" fontId="0" fillId="0" borderId="0" xfId="0" applyNumberFormat="1" applyAlignment="1">
      <alignment vertical="center"/>
    </xf>
    <xf numFmtId="0" fontId="13" fillId="8" borderId="18" xfId="0" applyFont="1" applyFill="1" applyBorder="1" applyAlignment="1">
      <alignment horizontal="right" vertical="center" wrapText="1"/>
    </xf>
    <xf numFmtId="0" fontId="13" fillId="8" borderId="10" xfId="0" applyFont="1" applyFill="1" applyBorder="1" applyAlignment="1">
      <alignment horizontal="right" vertical="center" wrapText="1"/>
    </xf>
    <xf numFmtId="0" fontId="20" fillId="2" borderId="28" xfId="0" applyFont="1" applyFill="1" applyBorder="1" applyAlignment="1">
      <alignment horizontal="left" vertical="center" wrapText="1"/>
    </xf>
    <xf numFmtId="10" fontId="7" fillId="0" borderId="3" xfId="0" applyNumberFormat="1" applyFont="1" applyFill="1" applyBorder="1" applyAlignment="1">
      <alignment vertical="center" wrapText="1"/>
    </xf>
    <xf numFmtId="0" fontId="2" fillId="0" borderId="7" xfId="0" applyFont="1" applyFill="1" applyBorder="1" applyAlignment="1">
      <alignment vertical="center" wrapText="1"/>
    </xf>
    <xf numFmtId="0" fontId="45" fillId="8" borderId="17" xfId="0" applyFont="1" applyFill="1" applyBorder="1" applyAlignment="1">
      <alignment horizontal="center" vertical="center" wrapText="1"/>
    </xf>
    <xf numFmtId="0" fontId="45" fillId="8" borderId="22" xfId="0" applyFont="1" applyFill="1" applyBorder="1" applyAlignment="1">
      <alignment horizontal="center" vertical="center" wrapText="1"/>
    </xf>
    <xf numFmtId="10" fontId="45" fillId="8" borderId="21" xfId="0" applyNumberFormat="1" applyFont="1" applyFill="1" applyBorder="1" applyAlignment="1">
      <alignment horizontal="center" vertical="center" wrapText="1"/>
    </xf>
    <xf numFmtId="0" fontId="45" fillId="8" borderId="20" xfId="0" applyFont="1" applyFill="1" applyBorder="1" applyAlignment="1">
      <alignment horizontal="center" vertical="center" wrapText="1"/>
    </xf>
    <xf numFmtId="10" fontId="45" fillId="8" borderId="20" xfId="0" applyNumberFormat="1" applyFont="1" applyFill="1" applyBorder="1" applyAlignment="1">
      <alignment horizontal="center" vertical="center" wrapText="1"/>
    </xf>
    <xf numFmtId="0" fontId="48" fillId="8" borderId="17" xfId="0" applyFont="1" applyFill="1" applyBorder="1" applyAlignment="1">
      <alignment horizontal="center" vertical="center" wrapText="1"/>
    </xf>
    <xf numFmtId="0" fontId="48" fillId="8" borderId="22" xfId="0" applyFont="1" applyFill="1" applyBorder="1" applyAlignment="1">
      <alignment horizontal="center" vertical="center" wrapText="1"/>
    </xf>
    <xf numFmtId="0" fontId="48" fillId="8" borderId="20" xfId="0" applyFont="1" applyFill="1" applyBorder="1" applyAlignment="1">
      <alignment horizontal="center" vertical="center" wrapText="1"/>
    </xf>
    <xf numFmtId="1" fontId="48" fillId="8" borderId="15" xfId="0" applyNumberFormat="1" applyFont="1" applyFill="1" applyBorder="1" applyAlignment="1">
      <alignment horizontal="center" vertical="center" wrapText="1"/>
    </xf>
    <xf numFmtId="0" fontId="48" fillId="8" borderId="15" xfId="0" applyFont="1" applyFill="1" applyBorder="1" applyAlignment="1">
      <alignment horizontal="center" vertical="center" wrapText="1"/>
    </xf>
    <xf numFmtId="0" fontId="43" fillId="0" borderId="0" xfId="0" applyFont="1" applyAlignment="1" applyProtection="1">
      <alignment horizontal="left" vertical="top" wrapText="1"/>
    </xf>
    <xf numFmtId="0" fontId="0" fillId="0" borderId="0" xfId="0" applyAlignment="1" applyProtection="1">
      <alignment horizontal="left" vertical="center" wrapText="1"/>
    </xf>
    <xf numFmtId="0" fontId="0" fillId="0" borderId="0" xfId="0" applyAlignment="1" applyProtection="1">
      <alignment horizontal="center" vertical="center" wrapText="1"/>
    </xf>
    <xf numFmtId="0" fontId="1" fillId="8" borderId="3"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wrapText="1"/>
    </xf>
    <xf numFmtId="164" fontId="1" fillId="8" borderId="3" xfId="0" applyNumberFormat="1" applyFont="1" applyFill="1" applyBorder="1" applyAlignment="1" applyProtection="1">
      <alignment horizontal="center" vertical="center" wrapText="1"/>
    </xf>
    <xf numFmtId="0" fontId="6" fillId="0" borderId="0" xfId="0" applyFont="1" applyFill="1" applyAlignment="1" applyProtection="1">
      <alignment horizontal="left" vertical="top" wrapText="1"/>
    </xf>
    <xf numFmtId="0" fontId="19" fillId="5" borderId="3" xfId="0" applyFont="1" applyFill="1" applyBorder="1" applyAlignment="1" applyProtection="1">
      <alignment horizontal="center" vertical="center" wrapText="1"/>
    </xf>
    <xf numFmtId="1" fontId="0" fillId="0" borderId="0" xfId="0" applyNumberFormat="1" applyAlignment="1" applyProtection="1">
      <alignment horizontal="center" vertical="center" wrapText="1"/>
    </xf>
    <xf numFmtId="0" fontId="0" fillId="0" borderId="0" xfId="0" applyAlignment="1" applyProtection="1">
      <alignment horizontal="center" wrapText="1"/>
    </xf>
    <xf numFmtId="0" fontId="6" fillId="0" borderId="0" xfId="0" applyFont="1" applyFill="1" applyAlignment="1" applyProtection="1">
      <alignment horizontal="center" vertical="top"/>
    </xf>
    <xf numFmtId="0" fontId="4" fillId="0" borderId="0" xfId="0" applyFont="1" applyFill="1" applyAlignment="1" applyProtection="1">
      <alignment horizontal="center" wrapText="1"/>
    </xf>
    <xf numFmtId="10" fontId="7" fillId="0" borderId="3" xfId="0" applyNumberFormat="1" applyFont="1" applyFill="1" applyBorder="1" applyAlignment="1">
      <alignment vertical="center" wrapText="1"/>
    </xf>
    <xf numFmtId="0" fontId="2" fillId="0" borderId="7" xfId="0" applyFont="1" applyFill="1" applyBorder="1" applyAlignment="1">
      <alignment vertical="center" wrapText="1"/>
    </xf>
    <xf numFmtId="0" fontId="3" fillId="2" borderId="13" xfId="0" applyFont="1" applyFill="1" applyBorder="1" applyAlignment="1">
      <alignment vertical="center"/>
    </xf>
    <xf numFmtId="164" fontId="3" fillId="8" borderId="0" xfId="0" applyNumberFormat="1" applyFont="1" applyFill="1" applyBorder="1" applyAlignment="1" applyProtection="1">
      <alignment horizontal="center" vertical="center" wrapText="1"/>
    </xf>
    <xf numFmtId="164" fontId="3" fillId="8" borderId="6" xfId="0" applyNumberFormat="1" applyFont="1" applyFill="1" applyBorder="1" applyAlignment="1" applyProtection="1">
      <alignment horizontal="center" vertical="center" wrapText="1"/>
    </xf>
    <xf numFmtId="1" fontId="3" fillId="8" borderId="0" xfId="0" applyNumberFormat="1" applyFont="1" applyFill="1" applyBorder="1" applyAlignment="1" applyProtection="1">
      <alignment horizontal="left" vertical="center" wrapText="1"/>
    </xf>
    <xf numFmtId="0" fontId="6" fillId="8" borderId="0" xfId="0" applyFont="1" applyFill="1" applyBorder="1" applyAlignment="1" applyProtection="1">
      <alignment horizontal="center" vertical="center" wrapText="1"/>
    </xf>
    <xf numFmtId="0" fontId="43" fillId="8" borderId="0" xfId="0" applyFont="1" applyFill="1" applyBorder="1" applyAlignment="1" applyProtection="1">
      <alignment vertical="center" wrapText="1"/>
    </xf>
    <xf numFmtId="0" fontId="43" fillId="8" borderId="0" xfId="0" applyFont="1" applyFill="1" applyAlignment="1" applyProtection="1">
      <alignment vertical="center" wrapText="1"/>
    </xf>
    <xf numFmtId="164" fontId="3" fillId="18" borderId="0" xfId="0" applyNumberFormat="1" applyFont="1" applyFill="1" applyBorder="1" applyAlignment="1" applyProtection="1">
      <alignment horizontal="center" vertical="center" wrapText="1"/>
    </xf>
    <xf numFmtId="0" fontId="0" fillId="8" borderId="0" xfId="0" applyFill="1" applyBorder="1" applyAlignment="1" applyProtection="1">
      <alignment horizontal="center" vertical="center" wrapText="1"/>
    </xf>
    <xf numFmtId="0" fontId="0" fillId="0" borderId="0" xfId="0" applyBorder="1" applyAlignment="1" applyProtection="1">
      <alignment wrapText="1"/>
    </xf>
    <xf numFmtId="0" fontId="10" fillId="8" borderId="0" xfId="0" applyFont="1" applyFill="1" applyBorder="1" applyAlignment="1" applyProtection="1">
      <alignment horizontal="left" vertical="top"/>
    </xf>
    <xf numFmtId="0" fontId="10" fillId="8" borderId="0" xfId="0" applyFont="1" applyFill="1" applyBorder="1" applyAlignment="1" applyProtection="1">
      <alignment horizontal="left" vertical="center"/>
    </xf>
    <xf numFmtId="0" fontId="10" fillId="8" borderId="0" xfId="0" applyFont="1" applyFill="1" applyBorder="1" applyAlignment="1" applyProtection="1">
      <alignment horizontal="left" vertical="center"/>
      <protection locked="0"/>
    </xf>
    <xf numFmtId="0" fontId="10" fillId="8" borderId="0" xfId="0" applyFont="1" applyFill="1" applyBorder="1" applyAlignment="1" applyProtection="1">
      <alignment horizontal="left" vertical="top"/>
      <protection locked="0"/>
    </xf>
    <xf numFmtId="0" fontId="10" fillId="8" borderId="0" xfId="0" applyFont="1" applyFill="1" applyBorder="1" applyAlignment="1" applyProtection="1">
      <alignment horizontal="center" vertical="center"/>
    </xf>
    <xf numFmtId="0" fontId="0" fillId="8" borderId="0" xfId="0" applyFill="1" applyBorder="1" applyAlignment="1" applyProtection="1">
      <alignment wrapText="1"/>
    </xf>
    <xf numFmtId="0" fontId="3" fillId="8" borderId="0" xfId="0" applyFont="1" applyFill="1" applyBorder="1" applyAlignment="1" applyProtection="1">
      <alignment horizontal="left" vertical="top" wrapText="1"/>
    </xf>
    <xf numFmtId="0" fontId="3" fillId="8" borderId="0" xfId="0" applyFont="1" applyFill="1" applyBorder="1" applyAlignment="1" applyProtection="1">
      <alignment horizontal="center" vertical="center" wrapText="1"/>
    </xf>
    <xf numFmtId="0" fontId="3" fillId="8" borderId="0" xfId="0" applyFont="1" applyFill="1" applyBorder="1" applyAlignment="1" applyProtection="1">
      <alignment horizontal="left" vertical="center" wrapText="1"/>
    </xf>
    <xf numFmtId="0" fontId="3" fillId="8" borderId="0" xfId="0" applyFont="1" applyFill="1" applyBorder="1" applyAlignment="1" applyProtection="1">
      <alignment horizontal="left" vertical="center" wrapText="1"/>
      <protection locked="0"/>
    </xf>
    <xf numFmtId="0" fontId="3" fillId="8" borderId="0" xfId="0" applyFont="1" applyFill="1" applyBorder="1" applyAlignment="1" applyProtection="1">
      <alignment horizontal="left" vertical="top" wrapText="1"/>
      <protection locked="0"/>
    </xf>
    <xf numFmtId="0" fontId="51" fillId="8" borderId="0" xfId="0" applyFont="1" applyFill="1" applyBorder="1" applyAlignment="1" applyProtection="1">
      <alignment horizontal="center" vertical="center" wrapText="1"/>
    </xf>
    <xf numFmtId="164" fontId="3" fillId="18" borderId="7"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0" fontId="1" fillId="20" borderId="3" xfId="0" applyFont="1" applyFill="1" applyBorder="1" applyAlignment="1" applyProtection="1">
      <alignment horizontal="center" vertical="center" wrapText="1"/>
    </xf>
    <xf numFmtId="0" fontId="7" fillId="17" borderId="3" xfId="0" applyFont="1" applyFill="1" applyBorder="1" applyAlignment="1" applyProtection="1">
      <alignment horizontal="left" vertical="center" wrapText="1"/>
    </xf>
    <xf numFmtId="0" fontId="1" fillId="17" borderId="3" xfId="0" applyFont="1" applyFill="1" applyBorder="1" applyAlignment="1" applyProtection="1">
      <alignment vertical="center" wrapText="1"/>
    </xf>
    <xf numFmtId="0" fontId="49" fillId="0" borderId="0" xfId="0" applyFont="1" applyProtection="1"/>
    <xf numFmtId="10" fontId="45" fillId="8" borderId="17" xfId="0" applyNumberFormat="1" applyFont="1" applyFill="1" applyBorder="1" applyAlignment="1">
      <alignment horizontal="center" vertical="center" wrapText="1"/>
    </xf>
    <xf numFmtId="10" fontId="45" fillId="2" borderId="0" xfId="0" applyNumberFormat="1" applyFont="1" applyFill="1" applyBorder="1" applyAlignment="1">
      <alignment vertical="center" wrapText="1"/>
    </xf>
    <xf numFmtId="10" fontId="45" fillId="2" borderId="12" xfId="0" applyNumberFormat="1" applyFont="1" applyFill="1" applyBorder="1" applyAlignment="1">
      <alignment vertical="center" wrapText="1"/>
    </xf>
    <xf numFmtId="1" fontId="46" fillId="0" borderId="0" xfId="0" applyNumberFormat="1" applyFont="1" applyAlignment="1" applyProtection="1">
      <alignment horizontal="center" vertical="center" wrapText="1"/>
    </xf>
    <xf numFmtId="0" fontId="2" fillId="8" borderId="0" xfId="0" applyFont="1" applyFill="1" applyBorder="1" applyAlignment="1">
      <alignment vertical="center" wrapText="1"/>
    </xf>
    <xf numFmtId="10" fontId="7" fillId="8" borderId="0" xfId="0" applyNumberFormat="1" applyFont="1" applyFill="1" applyBorder="1" applyAlignment="1">
      <alignment vertical="center" wrapText="1"/>
    </xf>
    <xf numFmtId="10" fontId="21" fillId="8" borderId="0" xfId="0" applyNumberFormat="1" applyFont="1" applyFill="1" applyBorder="1" applyAlignment="1">
      <alignment horizontal="center" vertical="center" wrapText="1"/>
    </xf>
    <xf numFmtId="0" fontId="7" fillId="8" borderId="0" xfId="0" applyFont="1" applyFill="1" applyBorder="1" applyAlignment="1" applyProtection="1">
      <alignment vertical="center"/>
    </xf>
    <xf numFmtId="0" fontId="6" fillId="8" borderId="0" xfId="0" applyFont="1" applyFill="1" applyBorder="1" applyAlignment="1" applyProtection="1">
      <alignment vertical="center"/>
    </xf>
    <xf numFmtId="0" fontId="7" fillId="8" borderId="0" xfId="0" applyFont="1" applyFill="1" applyBorder="1" applyAlignment="1">
      <alignment vertical="center" wrapText="1"/>
    </xf>
    <xf numFmtId="9" fontId="7" fillId="8" borderId="0" xfId="0" applyNumberFormat="1" applyFont="1" applyFill="1" applyBorder="1" applyAlignment="1">
      <alignment horizontal="center" vertical="center" wrapText="1"/>
    </xf>
    <xf numFmtId="0" fontId="2" fillId="8" borderId="6" xfId="0" applyFont="1" applyFill="1" applyBorder="1" applyAlignment="1">
      <alignment vertical="center" wrapText="1"/>
    </xf>
    <xf numFmtId="10" fontId="7" fillId="8" borderId="6" xfId="0" applyNumberFormat="1" applyFont="1" applyFill="1" applyBorder="1" applyAlignment="1">
      <alignment vertical="center" wrapText="1"/>
    </xf>
    <xf numFmtId="10" fontId="7" fillId="8" borderId="16" xfId="0" applyNumberFormat="1" applyFont="1" applyFill="1" applyBorder="1" applyAlignment="1">
      <alignment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2" fillId="8" borderId="0" xfId="0" applyFont="1" applyFill="1" applyBorder="1" applyAlignment="1">
      <alignment horizontal="center" vertical="center" wrapText="1"/>
    </xf>
    <xf numFmtId="9" fontId="2" fillId="8" borderId="0" xfId="0" applyNumberFormat="1" applyFont="1" applyFill="1" applyBorder="1" applyAlignment="1">
      <alignment horizontal="center" vertical="center" wrapText="1"/>
    </xf>
    <xf numFmtId="10" fontId="14" fillId="2" borderId="3" xfId="0" applyNumberFormat="1"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 fillId="22" borderId="3" xfId="0" applyFont="1" applyFill="1" applyBorder="1" applyAlignment="1" applyProtection="1">
      <alignment vertical="center" wrapText="1"/>
    </xf>
    <xf numFmtId="1" fontId="3" fillId="16" borderId="3" xfId="0" applyNumberFormat="1" applyFont="1" applyFill="1" applyBorder="1" applyAlignment="1" applyProtection="1">
      <alignment horizontal="center" vertical="center" wrapText="1"/>
    </xf>
    <xf numFmtId="1" fontId="3" fillId="16" borderId="4" xfId="0" applyNumberFormat="1" applyFont="1" applyFill="1" applyBorder="1" applyAlignment="1" applyProtection="1">
      <alignment horizontal="center" vertical="center" wrapText="1"/>
    </xf>
    <xf numFmtId="0" fontId="1" fillId="17" borderId="4" xfId="0" applyFont="1" applyFill="1" applyBorder="1" applyAlignment="1" applyProtection="1">
      <alignment horizontal="left" vertical="center" wrapText="1"/>
    </xf>
    <xf numFmtId="0" fontId="7" fillId="21" borderId="4" xfId="0" applyFont="1" applyFill="1" applyBorder="1" applyAlignment="1" applyProtection="1">
      <alignment horizontal="center" vertical="center" wrapText="1"/>
    </xf>
    <xf numFmtId="0" fontId="19" fillId="5" borderId="4" xfId="0" applyFont="1" applyFill="1" applyBorder="1" applyAlignment="1" applyProtection="1">
      <alignment horizontal="center" vertical="center" wrapText="1"/>
    </xf>
    <xf numFmtId="1" fontId="10" fillId="18" borderId="5" xfId="0" applyNumberFormat="1" applyFont="1" applyFill="1" applyBorder="1" applyAlignment="1" applyProtection="1">
      <alignment horizontal="left" vertical="center"/>
    </xf>
    <xf numFmtId="164" fontId="3" fillId="18" borderId="6" xfId="0" applyNumberFormat="1" applyFont="1" applyFill="1" applyBorder="1" applyAlignment="1" applyProtection="1">
      <alignment horizontal="center" vertical="center" wrapText="1"/>
    </xf>
    <xf numFmtId="164" fontId="3" fillId="18" borderId="6" xfId="0" applyNumberFormat="1" applyFont="1" applyFill="1" applyBorder="1" applyAlignment="1" applyProtection="1">
      <alignment horizontal="left" vertical="center" wrapText="1"/>
    </xf>
    <xf numFmtId="0" fontId="19" fillId="5" borderId="2" xfId="0" applyFont="1" applyFill="1" applyBorder="1" applyAlignment="1" applyProtection="1">
      <alignment horizontal="center" vertical="center" wrapText="1"/>
    </xf>
    <xf numFmtId="10" fontId="7" fillId="0" borderId="0" xfId="0" applyNumberFormat="1" applyFont="1" applyFill="1" applyBorder="1" applyAlignment="1">
      <alignment horizontal="center" vertical="center" wrapText="1"/>
    </xf>
    <xf numFmtId="49" fontId="20" fillId="3" borderId="2" xfId="1" applyNumberFormat="1" applyFont="1" applyFill="1" applyBorder="1" applyAlignment="1" applyProtection="1">
      <alignment horizontal="center" vertical="center" wrapText="1"/>
    </xf>
    <xf numFmtId="0" fontId="54" fillId="8" borderId="0" xfId="0" applyFont="1" applyFill="1" applyProtection="1"/>
    <xf numFmtId="0" fontId="54" fillId="0" borderId="0" xfId="0" applyFont="1" applyProtection="1"/>
    <xf numFmtId="0" fontId="53" fillId="2" borderId="31" xfId="0" applyFont="1" applyFill="1" applyBorder="1" applyAlignment="1" applyProtection="1">
      <alignment horizontal="center" vertical="center" wrapText="1"/>
    </xf>
    <xf numFmtId="49" fontId="20" fillId="2" borderId="2" xfId="1" applyNumberFormat="1" applyFont="1" applyFill="1" applyBorder="1" applyAlignment="1" applyProtection="1">
      <alignment horizontal="center" vertical="center" wrapText="1"/>
    </xf>
    <xf numFmtId="0" fontId="55" fillId="8" borderId="0" xfId="0" applyFont="1" applyFill="1" applyProtection="1"/>
    <xf numFmtId="0" fontId="56" fillId="8" borderId="0" xfId="0" applyFont="1" applyFill="1" applyAlignment="1" applyProtection="1">
      <alignment horizontal="center" vertical="center"/>
    </xf>
    <xf numFmtId="0" fontId="57" fillId="8" borderId="3" xfId="0" applyFont="1" applyFill="1" applyBorder="1" applyAlignment="1" applyProtection="1">
      <alignment horizontal="center" vertical="center"/>
    </xf>
    <xf numFmtId="0" fontId="53" fillId="2" borderId="32" xfId="0" applyFont="1" applyFill="1" applyBorder="1" applyAlignment="1" applyProtection="1">
      <alignment horizontal="center" vertical="center" wrapText="1"/>
    </xf>
    <xf numFmtId="164" fontId="3" fillId="18" borderId="5" xfId="0" applyNumberFormat="1" applyFont="1" applyFill="1" applyBorder="1" applyAlignment="1" applyProtection="1">
      <alignment horizontal="center" vertical="center" wrapText="1"/>
    </xf>
    <xf numFmtId="0" fontId="20" fillId="18" borderId="0" xfId="0" applyFont="1" applyFill="1" applyBorder="1" applyAlignment="1">
      <alignment vertical="center" wrapText="1"/>
    </xf>
    <xf numFmtId="0" fontId="20" fillId="18" borderId="0" xfId="0" applyFont="1" applyFill="1" applyBorder="1" applyAlignment="1">
      <alignment vertical="center"/>
    </xf>
    <xf numFmtId="0" fontId="3" fillId="18" borderId="0" xfId="0" applyFont="1" applyFill="1" applyBorder="1" applyAlignment="1">
      <alignment vertical="center" wrapText="1"/>
    </xf>
    <xf numFmtId="0" fontId="3" fillId="18" borderId="0" xfId="0" applyFont="1" applyFill="1" applyBorder="1" applyAlignment="1">
      <alignment horizontal="center" vertical="center" wrapText="1"/>
    </xf>
    <xf numFmtId="0" fontId="44" fillId="18" borderId="0" xfId="0" applyFont="1" applyFill="1" applyAlignment="1">
      <alignment vertical="center"/>
    </xf>
    <xf numFmtId="0" fontId="20" fillId="18" borderId="0" xfId="0" applyFont="1" applyFill="1" applyBorder="1" applyAlignment="1">
      <alignment horizontal="center" vertical="center" wrapText="1"/>
    </xf>
    <xf numFmtId="9" fontId="20" fillId="18" borderId="0" xfId="0" applyNumberFormat="1" applyFont="1" applyFill="1" applyBorder="1" applyAlignment="1">
      <alignment horizontal="center" vertical="center" wrapText="1"/>
    </xf>
    <xf numFmtId="0" fontId="15" fillId="18" borderId="0" xfId="0" applyFont="1" applyFill="1"/>
    <xf numFmtId="0" fontId="4" fillId="18" borderId="0" xfId="0" applyFont="1" applyFill="1"/>
    <xf numFmtId="0" fontId="14" fillId="18" borderId="0" xfId="0" applyFont="1" applyFill="1"/>
    <xf numFmtId="0" fontId="31" fillId="18" borderId="0" xfId="3" applyFont="1" applyFill="1" applyBorder="1" applyAlignment="1" applyProtection="1">
      <alignment horizontal="center"/>
    </xf>
    <xf numFmtId="0" fontId="16" fillId="18" borderId="0" xfId="0" applyFont="1" applyFill="1"/>
    <xf numFmtId="0" fontId="14" fillId="18" borderId="0" xfId="0" applyFont="1" applyFill="1" applyBorder="1"/>
    <xf numFmtId="0" fontId="17" fillId="18" borderId="3" xfId="0" applyFont="1" applyFill="1" applyBorder="1" applyAlignment="1">
      <alignment horizontal="center"/>
    </xf>
    <xf numFmtId="0" fontId="17" fillId="18" borderId="3" xfId="0" applyFont="1" applyFill="1" applyBorder="1"/>
    <xf numFmtId="10" fontId="14" fillId="18" borderId="3" xfId="0" applyNumberFormat="1" applyFont="1" applyFill="1" applyBorder="1" applyAlignment="1">
      <alignment horizontal="center" vertical="center"/>
    </xf>
    <xf numFmtId="10" fontId="14" fillId="18" borderId="0" xfId="0" applyNumberFormat="1" applyFont="1" applyFill="1" applyBorder="1" applyAlignment="1">
      <alignment horizontal="center" vertical="center"/>
    </xf>
    <xf numFmtId="0" fontId="17" fillId="18" borderId="0" xfId="0" applyFont="1" applyFill="1" applyBorder="1" applyAlignment="1">
      <alignment horizontal="center"/>
    </xf>
    <xf numFmtId="0" fontId="18" fillId="18" borderId="0" xfId="0" applyFont="1" applyFill="1" applyBorder="1"/>
    <xf numFmtId="0" fontId="17" fillId="18" borderId="0" xfId="0" applyFont="1" applyFill="1"/>
    <xf numFmtId="0" fontId="17" fillId="18" borderId="0" xfId="0" applyFont="1" applyFill="1" applyBorder="1"/>
    <xf numFmtId="0" fontId="58" fillId="0" borderId="0" xfId="3" applyFont="1" applyFill="1" applyBorder="1" applyAlignment="1" applyProtection="1">
      <alignment horizontal="left"/>
    </xf>
    <xf numFmtId="0" fontId="59" fillId="8" borderId="0" xfId="0" applyFont="1" applyFill="1" applyProtection="1"/>
    <xf numFmtId="0" fontId="59" fillId="8" borderId="0" xfId="0" applyFont="1" applyFill="1" applyAlignment="1" applyProtection="1">
      <alignment horizontal="left" vertical="top" wrapText="1"/>
    </xf>
    <xf numFmtId="0" fontId="0" fillId="0" borderId="0" xfId="0" pivotButton="1"/>
    <xf numFmtId="0" fontId="0" fillId="0" borderId="0" xfId="0" applyNumberFormat="1"/>
    <xf numFmtId="0" fontId="0" fillId="0" borderId="0" xfId="0" applyAlignment="1">
      <alignment horizontal="left"/>
    </xf>
    <xf numFmtId="0" fontId="0" fillId="0" borderId="0" xfId="0" applyAlignment="1">
      <alignment horizontal="left" indent="1"/>
    </xf>
    <xf numFmtId="10" fontId="20" fillId="2" borderId="0" xfId="0" applyNumberFormat="1" applyFont="1" applyFill="1" applyBorder="1" applyAlignment="1">
      <alignment horizontal="center" vertical="center" wrapText="1"/>
    </xf>
    <xf numFmtId="10" fontId="11" fillId="8" borderId="0" xfId="0" applyNumberFormat="1" applyFont="1" applyFill="1" applyAlignment="1">
      <alignment horizontal="center" vertical="center"/>
    </xf>
    <xf numFmtId="10" fontId="6" fillId="2" borderId="0" xfId="0" applyNumberFormat="1" applyFont="1" applyFill="1" applyAlignment="1">
      <alignment horizontal="center" vertical="center"/>
    </xf>
    <xf numFmtId="10" fontId="2" fillId="14" borderId="3" xfId="0" applyNumberFormat="1" applyFont="1" applyFill="1" applyBorder="1" applyAlignment="1">
      <alignment horizontal="center" vertical="center" wrapText="1"/>
    </xf>
    <xf numFmtId="10" fontId="2" fillId="8" borderId="0" xfId="0" applyNumberFormat="1" applyFont="1" applyFill="1" applyBorder="1" applyAlignment="1">
      <alignment horizontal="center" vertical="center" wrapText="1"/>
    </xf>
    <xf numFmtId="10" fontId="8" fillId="8" borderId="0" xfId="0" applyNumberFormat="1" applyFont="1" applyFill="1" applyBorder="1" applyAlignment="1">
      <alignment horizontal="center" vertical="center" wrapText="1"/>
    </xf>
    <xf numFmtId="10" fontId="12" fillId="8" borderId="0" xfId="0" applyNumberFormat="1" applyFont="1" applyFill="1" applyAlignment="1">
      <alignment horizontal="center" vertical="center"/>
    </xf>
    <xf numFmtId="10" fontId="12" fillId="8" borderId="0" xfId="0" applyNumberFormat="1" applyFont="1" applyFill="1" applyBorder="1" applyAlignment="1">
      <alignment horizontal="center" vertical="center"/>
    </xf>
    <xf numFmtId="10" fontId="24" fillId="8" borderId="0" xfId="3" applyNumberFormat="1" applyFill="1" applyBorder="1" applyAlignment="1" applyProtection="1">
      <alignment horizontal="center" vertical="center"/>
    </xf>
    <xf numFmtId="10" fontId="2" fillId="0" borderId="0" xfId="0"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6" fillId="8" borderId="0" xfId="0" applyFont="1" applyFill="1" applyAlignment="1" applyProtection="1">
      <alignment vertical="center"/>
    </xf>
    <xf numFmtId="0" fontId="6" fillId="0" borderId="0" xfId="0" applyFont="1" applyAlignment="1" applyProtection="1">
      <alignment horizontal="left" vertical="center" wrapText="1"/>
    </xf>
    <xf numFmtId="0" fontId="4" fillId="0" borderId="0" xfId="0" applyFont="1" applyAlignment="1" applyProtection="1">
      <alignment wrapText="1"/>
    </xf>
    <xf numFmtId="0" fontId="4"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left" vertical="top" wrapText="1"/>
    </xf>
    <xf numFmtId="0" fontId="62" fillId="0" borderId="0" xfId="0" applyFont="1" applyAlignment="1" applyProtection="1">
      <alignment horizontal="left" vertical="top" wrapText="1"/>
    </xf>
    <xf numFmtId="0" fontId="50" fillId="0" borderId="0" xfId="0" applyFont="1" applyAlignment="1" applyProtection="1">
      <alignment horizontal="left" vertical="center" wrapText="1"/>
    </xf>
    <xf numFmtId="0" fontId="4" fillId="0" borderId="0" xfId="0" applyFont="1" applyFill="1" applyAlignment="1" applyProtection="1">
      <alignment horizontal="left" wrapText="1"/>
    </xf>
    <xf numFmtId="1" fontId="4" fillId="0" borderId="0" xfId="0" applyNumberFormat="1" applyFont="1" applyAlignment="1" applyProtection="1">
      <alignment horizontal="center" vertical="center" wrapText="1"/>
    </xf>
    <xf numFmtId="0" fontId="7" fillId="0" borderId="0" xfId="0" applyFont="1" applyAlignment="1" applyProtection="1">
      <alignment horizontal="left" vertical="center" wrapText="1"/>
    </xf>
    <xf numFmtId="0" fontId="3" fillId="0" borderId="0" xfId="0" applyFont="1" applyAlignment="1" applyProtection="1">
      <alignment horizontal="left" vertical="center" wrapText="1"/>
    </xf>
    <xf numFmtId="10" fontId="20" fillId="18" borderId="0" xfId="0" applyNumberFormat="1" applyFont="1" applyFill="1" applyBorder="1" applyAlignment="1">
      <alignment horizontal="center" vertical="center" wrapText="1"/>
    </xf>
    <xf numFmtId="10" fontId="7" fillId="0" borderId="3" xfId="0" applyNumberFormat="1" applyFont="1" applyFill="1" applyBorder="1" applyAlignment="1">
      <alignment vertical="center" wrapText="1"/>
    </xf>
    <xf numFmtId="0" fontId="2" fillId="0" borderId="7" xfId="0" applyFont="1" applyFill="1" applyBorder="1" applyAlignment="1">
      <alignment vertical="center" wrapText="1"/>
    </xf>
    <xf numFmtId="0" fontId="12" fillId="0" borderId="0" xfId="0" applyFont="1" applyAlignment="1" applyProtection="1">
      <alignment wrapText="1"/>
    </xf>
    <xf numFmtId="0" fontId="12" fillId="8" borderId="3" xfId="0" applyFont="1" applyFill="1" applyBorder="1" applyAlignment="1" applyProtection="1">
      <alignment horizontal="center" vertical="center" wrapText="1"/>
    </xf>
    <xf numFmtId="0" fontId="14" fillId="0" borderId="0" xfId="0" applyFont="1" applyAlignment="1" applyProtection="1">
      <alignment wrapText="1"/>
    </xf>
    <xf numFmtId="0" fontId="54" fillId="0" borderId="0" xfId="0" applyFont="1" applyBorder="1" applyAlignment="1" applyProtection="1">
      <alignment wrapText="1"/>
    </xf>
    <xf numFmtId="0" fontId="35" fillId="0" borderId="0" xfId="0" applyFont="1" applyFill="1" applyAlignment="1" applyProtection="1">
      <alignment horizontal="left" vertical="top"/>
    </xf>
    <xf numFmtId="0" fontId="46" fillId="0" borderId="0" xfId="0" applyFont="1" applyAlignment="1" applyProtection="1">
      <alignment wrapText="1"/>
    </xf>
    <xf numFmtId="0" fontId="46" fillId="0" borderId="0" xfId="0" applyFont="1" applyAlignment="1" applyProtection="1">
      <alignment horizontal="left" vertical="center" wrapText="1"/>
    </xf>
    <xf numFmtId="0" fontId="46" fillId="0" borderId="0" xfId="0" applyFont="1" applyAlignment="1" applyProtection="1">
      <alignment horizontal="center" vertical="center" wrapText="1"/>
    </xf>
    <xf numFmtId="0" fontId="46" fillId="0" borderId="0" xfId="0" applyFont="1" applyAlignment="1" applyProtection="1">
      <alignment horizontal="left" vertical="top" wrapText="1"/>
    </xf>
    <xf numFmtId="0" fontId="64" fillId="0" borderId="0" xfId="0" applyFont="1" applyAlignment="1" applyProtection="1">
      <alignment horizontal="left" vertical="top" wrapText="1"/>
    </xf>
    <xf numFmtId="0" fontId="35"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44" fillId="0" borderId="0" xfId="0" applyFont="1" applyAlignment="1" applyProtection="1">
      <alignment wrapText="1"/>
    </xf>
    <xf numFmtId="0" fontId="46" fillId="0" borderId="0" xfId="0" applyFont="1" applyFill="1" applyAlignment="1" applyProtection="1">
      <alignment horizontal="left" wrapText="1"/>
    </xf>
    <xf numFmtId="0" fontId="1" fillId="17" borderId="11" xfId="0" applyFont="1" applyFill="1" applyBorder="1" applyAlignment="1" applyProtection="1">
      <alignment horizontal="left" vertical="center" wrapText="1"/>
    </xf>
    <xf numFmtId="0" fontId="7" fillId="21" borderId="11" xfId="0" applyFont="1" applyFill="1" applyBorder="1" applyAlignment="1" applyProtection="1">
      <alignment horizontal="center" vertical="center" wrapText="1"/>
    </xf>
    <xf numFmtId="0" fontId="19" fillId="5" borderId="11" xfId="0" applyFont="1" applyFill="1" applyBorder="1" applyAlignment="1" applyProtection="1">
      <alignment horizontal="center" vertical="center" wrapText="1"/>
    </xf>
    <xf numFmtId="1" fontId="3" fillId="16" borderId="11" xfId="0" applyNumberFormat="1" applyFont="1" applyFill="1" applyBorder="1" applyAlignment="1" applyProtection="1">
      <alignment horizontal="center" vertical="center" wrapText="1"/>
    </xf>
    <xf numFmtId="0" fontId="2" fillId="6" borderId="3" xfId="0" applyFont="1" applyFill="1" applyBorder="1" applyAlignment="1">
      <alignment vertical="center" wrapText="1"/>
    </xf>
    <xf numFmtId="0" fontId="2" fillId="4" borderId="3" xfId="0" applyFont="1" applyFill="1" applyBorder="1" applyAlignment="1">
      <alignment vertical="center" wrapText="1"/>
    </xf>
    <xf numFmtId="0" fontId="2" fillId="7" borderId="3" xfId="0" applyFont="1" applyFill="1" applyBorder="1" applyAlignment="1">
      <alignment vertical="center" wrapText="1"/>
    </xf>
    <xf numFmtId="0" fontId="2" fillId="0" borderId="14" xfId="0" applyFont="1" applyFill="1" applyBorder="1" applyAlignment="1">
      <alignment vertical="center" wrapText="1"/>
    </xf>
    <xf numFmtId="10" fontId="7" fillId="8" borderId="0" xfId="0" applyNumberFormat="1" applyFont="1" applyFill="1" applyBorder="1" applyAlignment="1">
      <alignment horizontal="center" vertical="center" wrapText="1"/>
    </xf>
    <xf numFmtId="10" fontId="7" fillId="0" borderId="3" xfId="0" applyNumberFormat="1" applyFont="1" applyFill="1" applyBorder="1" applyAlignment="1">
      <alignment horizontal="center" vertical="center"/>
    </xf>
    <xf numFmtId="10" fontId="6" fillId="8"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0" fontId="14" fillId="8" borderId="0" xfId="0" applyFont="1" applyFill="1" applyAlignment="1">
      <alignment horizontal="center" vertical="center"/>
    </xf>
    <xf numFmtId="0" fontId="44" fillId="2" borderId="0" xfId="0" applyFont="1" applyFill="1" applyAlignment="1">
      <alignment horizontal="center" vertical="center"/>
    </xf>
    <xf numFmtId="0" fontId="7" fillId="0" borderId="7" xfId="0" applyFont="1" applyFill="1" applyBorder="1" applyAlignment="1">
      <alignment horizontal="center" vertical="center" wrapText="1"/>
    </xf>
    <xf numFmtId="10" fontId="7" fillId="0" borderId="3"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7" fillId="0" borderId="0" xfId="0" applyFont="1" applyFill="1" applyBorder="1" applyAlignment="1" applyProtection="1">
      <alignment horizontal="center" vertical="center"/>
    </xf>
    <xf numFmtId="10" fontId="7" fillId="0" borderId="5"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2" fillId="8" borderId="6" xfId="0" applyFont="1" applyFill="1" applyBorder="1" applyAlignment="1">
      <alignment horizontal="center" vertical="center" wrapText="1"/>
    </xf>
    <xf numFmtId="10" fontId="7" fillId="8" borderId="6" xfId="0" applyNumberFormat="1" applyFont="1" applyFill="1" applyBorder="1" applyAlignment="1">
      <alignment horizontal="center" vertical="center" wrapText="1"/>
    </xf>
    <xf numFmtId="10" fontId="7" fillId="8" borderId="16"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0" fontId="6" fillId="8" borderId="7" xfId="0" applyNumberFormat="1" applyFont="1" applyFill="1" applyBorder="1" applyAlignment="1">
      <alignment horizontal="center" vertical="center"/>
    </xf>
    <xf numFmtId="0" fontId="7" fillId="8" borderId="3" xfId="0" applyFont="1" applyFill="1" applyBorder="1" applyAlignment="1">
      <alignment horizontal="center" vertical="center"/>
    </xf>
    <xf numFmtId="0" fontId="2" fillId="8" borderId="3" xfId="0" applyFont="1" applyFill="1" applyBorder="1" applyAlignment="1">
      <alignment horizontal="center" vertical="center"/>
    </xf>
    <xf numFmtId="0" fontId="3" fillId="2" borderId="13" xfId="0" applyFont="1" applyFill="1" applyBorder="1" applyAlignment="1">
      <alignment horizontal="center" vertical="center"/>
    </xf>
    <xf numFmtId="0" fontId="9" fillId="8"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10" fontId="7" fillId="0" borderId="6" xfId="0" applyNumberFormat="1" applyFont="1" applyFill="1" applyBorder="1" applyAlignment="1">
      <alignment horizontal="center" vertical="center" wrapText="1"/>
    </xf>
    <xf numFmtId="10" fontId="7" fillId="0" borderId="16" xfId="0" applyNumberFormat="1" applyFont="1" applyFill="1" applyBorder="1" applyAlignment="1">
      <alignment horizontal="center" vertical="center" wrapText="1"/>
    </xf>
    <xf numFmtId="0" fontId="44" fillId="8" borderId="0" xfId="0" applyFont="1" applyFill="1" applyAlignment="1">
      <alignment horizontal="center" vertical="center"/>
    </xf>
    <xf numFmtId="0" fontId="35" fillId="2" borderId="0" xfId="0" applyFont="1" applyFill="1" applyAlignment="1">
      <alignment horizontal="center" vertical="center"/>
    </xf>
    <xf numFmtId="0" fontId="2"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8" borderId="0" xfId="0" applyFont="1" applyFill="1" applyAlignment="1" applyProtection="1">
      <alignment horizontal="center" vertical="center"/>
    </xf>
    <xf numFmtId="10" fontId="6" fillId="8" borderId="0" xfId="0" applyNumberFormat="1" applyFont="1" applyFill="1" applyAlignment="1" applyProtection="1">
      <alignment horizontal="center" vertical="center"/>
    </xf>
    <xf numFmtId="0" fontId="2" fillId="0" borderId="3" xfId="0" applyFont="1" applyFill="1" applyBorder="1" applyAlignment="1">
      <alignment horizontal="left" vertical="center" wrapText="1"/>
    </xf>
    <xf numFmtId="0" fontId="6" fillId="8" borderId="3" xfId="0" applyFont="1" applyFill="1" applyBorder="1" applyAlignment="1">
      <alignment horizontal="left" vertical="center" wrapText="1"/>
    </xf>
    <xf numFmtId="0" fontId="9" fillId="8" borderId="3" xfId="0" applyFont="1" applyFill="1" applyBorder="1" applyAlignment="1">
      <alignment horizontal="left" vertical="center" wrapText="1"/>
    </xf>
    <xf numFmtId="0" fontId="12" fillId="8" borderId="0" xfId="0" applyFont="1" applyFill="1" applyAlignment="1">
      <alignment horizontal="left" vertical="center" wrapText="1"/>
    </xf>
    <xf numFmtId="0" fontId="7"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9" fillId="8" borderId="0"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8" borderId="0" xfId="0" applyFont="1" applyFill="1" applyBorder="1" applyAlignment="1">
      <alignment horizontal="left" vertical="center" wrapText="1"/>
    </xf>
    <xf numFmtId="0" fontId="3" fillId="2" borderId="5" xfId="0" applyFont="1" applyFill="1" applyBorder="1" applyAlignment="1">
      <alignment horizontal="left" vertical="center"/>
    </xf>
    <xf numFmtId="0" fontId="2" fillId="6" borderId="3" xfId="0" applyFont="1" applyFill="1" applyBorder="1" applyAlignment="1">
      <alignment horizontal="left" vertical="center"/>
    </xf>
    <xf numFmtId="0" fontId="2" fillId="0" borderId="0" xfId="0" applyFont="1" applyFill="1" applyBorder="1" applyAlignment="1">
      <alignment horizontal="left" vertical="center"/>
    </xf>
    <xf numFmtId="0" fontId="2" fillId="7" borderId="3" xfId="0" applyFont="1" applyFill="1" applyBorder="1" applyAlignment="1">
      <alignment horizontal="left" vertical="center"/>
    </xf>
    <xf numFmtId="0" fontId="2" fillId="8" borderId="0"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6" xfId="0" applyFont="1" applyFill="1" applyBorder="1" applyAlignment="1">
      <alignment horizontal="left" vertical="center"/>
    </xf>
    <xf numFmtId="0" fontId="3" fillId="2" borderId="3" xfId="0" applyFont="1" applyFill="1" applyBorder="1" applyAlignment="1">
      <alignment horizontal="left" vertical="center"/>
    </xf>
    <xf numFmtId="0" fontId="7" fillId="0" borderId="0" xfId="0" applyFont="1" applyFill="1" applyBorder="1" applyAlignment="1" applyProtection="1">
      <alignment horizontal="left" vertical="center"/>
    </xf>
    <xf numFmtId="0" fontId="7" fillId="0" borderId="3" xfId="0" applyFont="1" applyFill="1" applyBorder="1" applyAlignment="1">
      <alignment horizontal="left" vertical="center"/>
    </xf>
    <xf numFmtId="0" fontId="1" fillId="0" borderId="3" xfId="0" applyFont="1" applyFill="1" applyBorder="1" applyAlignment="1">
      <alignment horizontal="left" vertical="center"/>
    </xf>
    <xf numFmtId="0" fontId="6" fillId="8" borderId="3" xfId="0" applyFont="1" applyFill="1" applyBorder="1" applyAlignment="1">
      <alignment horizontal="left" vertical="center"/>
    </xf>
    <xf numFmtId="0" fontId="9" fillId="8" borderId="3" xfId="0" applyFont="1" applyFill="1" applyBorder="1" applyAlignment="1">
      <alignment horizontal="left" vertical="center"/>
    </xf>
    <xf numFmtId="0" fontId="6" fillId="15" borderId="6" xfId="0" applyFont="1" applyFill="1" applyBorder="1" applyAlignment="1">
      <alignment vertical="center"/>
    </xf>
    <xf numFmtId="0" fontId="6" fillId="15" borderId="7" xfId="0" applyFont="1" applyFill="1" applyBorder="1" applyAlignment="1">
      <alignment horizontal="center" vertical="center"/>
    </xf>
    <xf numFmtId="0" fontId="2" fillId="14" borderId="4" xfId="0" applyFont="1" applyFill="1" applyBorder="1" applyAlignment="1">
      <alignment vertical="center" wrapText="1"/>
    </xf>
    <xf numFmtId="0" fontId="2" fillId="14" borderId="4" xfId="0" applyFont="1" applyFill="1" applyBorder="1" applyAlignment="1">
      <alignment horizontal="center" vertical="center" wrapText="1"/>
    </xf>
    <xf numFmtId="9" fontId="2" fillId="14" borderId="4" xfId="0" applyNumberFormat="1" applyFont="1" applyFill="1" applyBorder="1" applyAlignment="1">
      <alignment horizontal="center" vertical="center" wrapText="1"/>
    </xf>
    <xf numFmtId="10" fontId="2" fillId="14" borderId="4" xfId="0" applyNumberFormat="1" applyFont="1" applyFill="1" applyBorder="1" applyAlignment="1">
      <alignment horizontal="center" vertical="center" wrapText="1"/>
    </xf>
    <xf numFmtId="0" fontId="3" fillId="15" borderId="5" xfId="0" applyFont="1" applyFill="1" applyBorder="1" applyAlignment="1">
      <alignment vertical="center" wrapText="1"/>
    </xf>
    <xf numFmtId="10" fontId="7" fillId="8" borderId="3" xfId="0" applyNumberFormat="1" applyFont="1" applyFill="1" applyBorder="1" applyAlignment="1">
      <alignment vertical="center" wrapText="1"/>
    </xf>
    <xf numFmtId="0" fontId="3" fillId="15" borderId="5" xfId="0" applyFont="1" applyFill="1" applyBorder="1" applyAlignment="1">
      <alignment vertical="center"/>
    </xf>
    <xf numFmtId="0" fontId="2" fillId="8" borderId="14" xfId="0" applyFont="1" applyFill="1" applyBorder="1" applyAlignment="1">
      <alignment vertical="center" wrapText="1"/>
    </xf>
    <xf numFmtId="0" fontId="0" fillId="8" borderId="0" xfId="0" applyFill="1" applyAlignment="1" applyProtection="1">
      <alignment wrapText="1"/>
    </xf>
    <xf numFmtId="0" fontId="0" fillId="8" borderId="0" xfId="0" applyFill="1" applyAlignment="1" applyProtection="1">
      <alignment horizontal="left" vertical="center" wrapText="1"/>
    </xf>
    <xf numFmtId="0" fontId="0" fillId="8" borderId="0" xfId="0" applyFill="1" applyAlignment="1" applyProtection="1">
      <alignment horizontal="center" vertical="center" wrapText="1"/>
    </xf>
    <xf numFmtId="0" fontId="43" fillId="8" borderId="0" xfId="0" applyFont="1" applyFill="1" applyAlignment="1" applyProtection="1">
      <alignment horizontal="left" vertical="top" wrapText="1"/>
    </xf>
    <xf numFmtId="0" fontId="6" fillId="8" borderId="0" xfId="0" applyFont="1" applyFill="1" applyAlignment="1" applyProtection="1">
      <alignment horizontal="left" vertical="center" wrapText="1"/>
    </xf>
    <xf numFmtId="0" fontId="7" fillId="8" borderId="0" xfId="0" applyFont="1" applyFill="1" applyAlignment="1" applyProtection="1">
      <alignment horizontal="left" vertical="center" wrapText="1"/>
    </xf>
    <xf numFmtId="0" fontId="12" fillId="8" borderId="0" xfId="0" applyFont="1" applyFill="1" applyAlignment="1" applyProtection="1">
      <alignment wrapText="1"/>
    </xf>
    <xf numFmtId="0" fontId="65" fillId="0" borderId="0" xfId="3" applyFont="1" applyFill="1" applyBorder="1" applyAlignment="1" applyProtection="1">
      <alignment horizontal="left" vertical="center"/>
    </xf>
    <xf numFmtId="1" fontId="3" fillId="2" borderId="3" xfId="0" applyNumberFormat="1" applyFont="1" applyFill="1" applyBorder="1" applyAlignment="1" applyProtection="1">
      <alignment horizontal="center" vertical="center" wrapText="1"/>
    </xf>
    <xf numFmtId="164" fontId="3" fillId="2" borderId="3" xfId="0" applyNumberFormat="1" applyFont="1" applyFill="1" applyBorder="1" applyAlignment="1" applyProtection="1">
      <alignment horizontal="center" vertical="center" wrapText="1"/>
    </xf>
    <xf numFmtId="164" fontId="3" fillId="2" borderId="3" xfId="0" applyNumberFormat="1" applyFont="1" applyFill="1" applyBorder="1" applyAlignment="1" applyProtection="1">
      <alignment horizontal="left" vertical="center" wrapText="1"/>
    </xf>
    <xf numFmtId="1" fontId="20" fillId="18" borderId="3" xfId="0" applyNumberFormat="1" applyFont="1" applyFill="1" applyBorder="1" applyAlignment="1" applyProtection="1">
      <alignment horizontal="left" vertical="center"/>
    </xf>
    <xf numFmtId="164" fontId="20" fillId="18" borderId="3" xfId="0" applyNumberFormat="1" applyFont="1" applyFill="1" applyBorder="1" applyAlignment="1" applyProtection="1">
      <alignment horizontal="center" vertical="center" wrapText="1"/>
    </xf>
    <xf numFmtId="164" fontId="20" fillId="18" borderId="3" xfId="0" applyNumberFormat="1" applyFont="1" applyFill="1" applyBorder="1" applyAlignment="1" applyProtection="1">
      <alignment horizontal="left" vertical="center" wrapText="1"/>
    </xf>
    <xf numFmtId="164" fontId="63" fillId="18" borderId="3" xfId="0" applyNumberFormat="1" applyFont="1" applyFill="1" applyBorder="1" applyAlignment="1" applyProtection="1">
      <alignment horizontal="center" vertical="center" wrapText="1"/>
    </xf>
    <xf numFmtId="1" fontId="20" fillId="18" borderId="3" xfId="0" applyNumberFormat="1" applyFont="1" applyFill="1" applyBorder="1" applyAlignment="1" applyProtection="1">
      <alignment horizontal="center" vertical="center" wrapText="1"/>
    </xf>
    <xf numFmtId="0" fontId="20" fillId="19" borderId="3" xfId="0" applyFont="1" applyFill="1" applyBorder="1" applyAlignment="1" applyProtection="1">
      <alignment vertical="center" wrapText="1"/>
    </xf>
    <xf numFmtId="0" fontId="20" fillId="18" borderId="3" xfId="0" applyFont="1" applyFill="1" applyBorder="1" applyAlignment="1" applyProtection="1">
      <alignment horizontal="left" vertical="center" wrapText="1"/>
    </xf>
    <xf numFmtId="0" fontId="20" fillId="18" borderId="3" xfId="0" applyFont="1" applyFill="1" applyBorder="1" applyAlignment="1" applyProtection="1">
      <alignment horizontal="center" vertical="center" wrapText="1"/>
    </xf>
    <xf numFmtId="0" fontId="20" fillId="18" borderId="3" xfId="0" applyFont="1" applyFill="1" applyBorder="1" applyAlignment="1" applyProtection="1">
      <alignment vertical="top" wrapText="1"/>
    </xf>
    <xf numFmtId="0" fontId="20" fillId="18" borderId="3" xfId="0" applyFont="1" applyFill="1" applyBorder="1" applyAlignment="1" applyProtection="1">
      <alignment horizontal="center" wrapText="1"/>
    </xf>
    <xf numFmtId="0" fontId="7" fillId="21" borderId="3" xfId="0" applyFont="1" applyFill="1" applyBorder="1" applyAlignment="1" applyProtection="1">
      <alignment horizontal="left" vertical="center" wrapText="1"/>
    </xf>
    <xf numFmtId="0" fontId="3" fillId="4" borderId="3" xfId="0" applyFont="1" applyFill="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horizontal="left" vertical="center"/>
    </xf>
    <xf numFmtId="0" fontId="43" fillId="8" borderId="0" xfId="0" applyFont="1" applyFill="1" applyAlignment="1" applyProtection="1">
      <alignment horizontal="center" vertical="center" wrapText="1"/>
    </xf>
    <xf numFmtId="0" fontId="43" fillId="0" borderId="0" xfId="0" applyFont="1" applyAlignment="1" applyProtection="1">
      <alignment horizontal="center" vertical="center" wrapText="1"/>
    </xf>
    <xf numFmtId="0" fontId="62" fillId="0" borderId="0" xfId="0" applyFont="1" applyAlignment="1" applyProtection="1">
      <alignment horizontal="center" vertical="center" wrapText="1"/>
    </xf>
    <xf numFmtId="0" fontId="64" fillId="0" borderId="0" xfId="0" applyFont="1" applyAlignment="1" applyProtection="1">
      <alignment horizontal="center" vertical="center" wrapText="1"/>
    </xf>
    <xf numFmtId="0" fontId="57" fillId="0" borderId="3" xfId="0" applyFont="1" applyFill="1" applyBorder="1" applyAlignment="1" applyProtection="1">
      <alignment horizontal="center" vertical="center"/>
    </xf>
    <xf numFmtId="0" fontId="67" fillId="8" borderId="4" xfId="0" applyFont="1" applyFill="1" applyBorder="1" applyAlignment="1" applyProtection="1">
      <alignment horizontal="center" vertical="center"/>
    </xf>
    <xf numFmtId="0" fontId="1" fillId="13" borderId="4" xfId="0" applyFont="1" applyFill="1" applyBorder="1" applyAlignment="1" applyProtection="1">
      <alignment horizontal="center" vertical="center" wrapText="1"/>
    </xf>
    <xf numFmtId="0" fontId="1" fillId="20" borderId="4" xfId="0" applyFont="1" applyFill="1" applyBorder="1" applyAlignment="1" applyProtection="1">
      <alignment horizontal="center" vertical="center" wrapText="1"/>
    </xf>
    <xf numFmtId="0" fontId="46" fillId="0" borderId="0" xfId="0" applyFont="1" applyFill="1" applyAlignment="1" applyProtection="1">
      <alignment horizontal="center" wrapText="1"/>
    </xf>
    <xf numFmtId="164" fontId="63" fillId="18" borderId="3" xfId="0" applyNumberFormat="1" applyFont="1" applyFill="1" applyBorder="1" applyAlignment="1" applyProtection="1">
      <alignment horizontal="left" vertical="center" wrapText="1"/>
    </xf>
    <xf numFmtId="0" fontId="7" fillId="8" borderId="4" xfId="0" applyFont="1" applyFill="1" applyBorder="1" applyAlignment="1" applyProtection="1">
      <alignment horizontal="center" vertical="center" wrapText="1"/>
    </xf>
    <xf numFmtId="10" fontId="7" fillId="0" borderId="3" xfId="0" applyNumberFormat="1" applyFont="1" applyFill="1" applyBorder="1" applyAlignment="1">
      <alignment horizontal="center" vertical="center" wrapText="1"/>
    </xf>
    <xf numFmtId="0" fontId="2" fillId="7" borderId="3" xfId="0" applyFont="1" applyFill="1" applyBorder="1" applyAlignment="1">
      <alignment vertical="center" wrapText="1"/>
    </xf>
    <xf numFmtId="10" fontId="7" fillId="0" borderId="3" xfId="0" applyNumberFormat="1" applyFont="1" applyFill="1" applyBorder="1" applyAlignment="1">
      <alignment vertical="center" wrapText="1"/>
    </xf>
    <xf numFmtId="0" fontId="2" fillId="0" borderId="7" xfId="0" applyFont="1" applyFill="1" applyBorder="1" applyAlignment="1">
      <alignment vertical="center" wrapText="1"/>
    </xf>
    <xf numFmtId="0" fontId="2" fillId="0" borderId="3" xfId="0" applyFont="1" applyFill="1" applyBorder="1" applyAlignment="1">
      <alignment vertical="center" wrapText="1"/>
    </xf>
    <xf numFmtId="0" fontId="35" fillId="8" borderId="3" xfId="0" applyFont="1" applyFill="1" applyBorder="1" applyAlignment="1" applyProtection="1">
      <alignment horizontal="left" vertical="center" wrapText="1"/>
    </xf>
    <xf numFmtId="0" fontId="52" fillId="8" borderId="4" xfId="0" applyFont="1" applyFill="1" applyBorder="1" applyAlignment="1" applyProtection="1">
      <alignment horizontal="left" vertical="top" wrapText="1"/>
    </xf>
    <xf numFmtId="0" fontId="7" fillId="8" borderId="0" xfId="0" applyFont="1" applyFill="1" applyBorder="1" applyAlignment="1">
      <alignment vertical="center"/>
    </xf>
    <xf numFmtId="0" fontId="2" fillId="8" borderId="0" xfId="0" applyFont="1" applyFill="1" applyBorder="1" applyAlignment="1">
      <alignment vertical="center"/>
    </xf>
    <xf numFmtId="9" fontId="7" fillId="21" borderId="3" xfId="4" applyFont="1" applyFill="1" applyBorder="1" applyAlignment="1" applyProtection="1">
      <alignment horizontal="left" vertical="center" wrapText="1"/>
    </xf>
    <xf numFmtId="0" fontId="2" fillId="21" borderId="3" xfId="0" applyFont="1" applyFill="1" applyBorder="1" applyAlignment="1" applyProtection="1">
      <alignment horizontal="left" vertical="center" wrapText="1"/>
    </xf>
    <xf numFmtId="0" fontId="66" fillId="21" borderId="3" xfId="0" applyFont="1" applyFill="1" applyBorder="1" applyAlignment="1" applyProtection="1">
      <alignment horizontal="left" vertical="center" wrapText="1"/>
    </xf>
    <xf numFmtId="0" fontId="1" fillId="17" borderId="3" xfId="0" applyFont="1" applyFill="1" applyBorder="1" applyAlignment="1" applyProtection="1">
      <alignment horizontal="left" vertical="center" wrapText="1"/>
    </xf>
    <xf numFmtId="0" fontId="7" fillId="21" borderId="3" xfId="0" applyFont="1" applyFill="1" applyBorder="1" applyAlignment="1" applyProtection="1">
      <alignment horizontal="center" vertical="center" wrapText="1"/>
    </xf>
    <xf numFmtId="0" fontId="0" fillId="8" borderId="3" xfId="0" applyFill="1" applyBorder="1" applyProtection="1"/>
    <xf numFmtId="0" fontId="57" fillId="8" borderId="2" xfId="0" applyFont="1" applyFill="1" applyBorder="1" applyAlignment="1" applyProtection="1">
      <alignment horizontal="center" vertical="center"/>
    </xf>
    <xf numFmtId="0" fontId="57" fillId="8" borderId="4" xfId="0" applyFont="1" applyFill="1" applyBorder="1" applyAlignment="1" applyProtection="1">
      <alignment horizontal="center" vertical="center"/>
    </xf>
    <xf numFmtId="1" fontId="10" fillId="18" borderId="13" xfId="0" applyNumberFormat="1" applyFont="1" applyFill="1" applyBorder="1" applyAlignment="1" applyProtection="1">
      <alignment horizontal="left" vertical="center"/>
    </xf>
    <xf numFmtId="0" fontId="69" fillId="18" borderId="5" xfId="0" applyFont="1" applyFill="1" applyBorder="1" applyAlignment="1" applyProtection="1">
      <alignment horizontal="left" vertical="center" wrapText="1"/>
    </xf>
    <xf numFmtId="0" fontId="21" fillId="18" borderId="6" xfId="0" applyFont="1" applyFill="1" applyBorder="1" applyAlignment="1" applyProtection="1">
      <alignment horizontal="center" vertical="center" wrapText="1"/>
    </xf>
    <xf numFmtId="0" fontId="69" fillId="18" borderId="6" xfId="0" applyFont="1" applyFill="1" applyBorder="1" applyAlignment="1" applyProtection="1">
      <alignment horizontal="center" vertical="center" wrapText="1"/>
    </xf>
    <xf numFmtId="0" fontId="70" fillId="18" borderId="6" xfId="0" applyFont="1" applyFill="1" applyBorder="1" applyAlignment="1" applyProtection="1">
      <alignment horizontal="center" vertical="center"/>
    </xf>
    <xf numFmtId="0" fontId="69" fillId="18" borderId="7" xfId="0" applyFont="1" applyFill="1" applyBorder="1" applyAlignment="1" applyProtection="1">
      <alignment horizontal="center" vertical="center" wrapText="1"/>
    </xf>
    <xf numFmtId="0" fontId="71" fillId="8" borderId="0" xfId="0" applyFont="1" applyFill="1" applyProtection="1"/>
    <xf numFmtId="0" fontId="71" fillId="0" borderId="0" xfId="0" applyFont="1" applyProtection="1"/>
    <xf numFmtId="0" fontId="69" fillId="18" borderId="6" xfId="0" applyFont="1" applyFill="1" applyBorder="1" applyAlignment="1" applyProtection="1">
      <alignment horizontal="left" vertical="center" wrapText="1"/>
    </xf>
    <xf numFmtId="0" fontId="13" fillId="18" borderId="6" xfId="0" applyFont="1" applyFill="1" applyBorder="1" applyAlignment="1" applyProtection="1">
      <alignment horizontal="center" vertical="center"/>
    </xf>
    <xf numFmtId="0" fontId="2" fillId="8" borderId="3" xfId="0" applyFont="1" applyFill="1" applyBorder="1" applyAlignment="1" applyProtection="1">
      <alignment horizontal="left" vertical="center" wrapText="1"/>
    </xf>
    <xf numFmtId="0" fontId="1" fillId="8" borderId="3" xfId="0" applyFont="1" applyFill="1" applyBorder="1" applyAlignment="1" applyProtection="1">
      <alignment horizontal="center" vertical="center" wrapText="1"/>
      <protection locked="0"/>
    </xf>
    <xf numFmtId="0" fontId="35" fillId="5" borderId="3" xfId="0" applyFont="1" applyFill="1" applyBorder="1" applyAlignment="1" applyProtection="1">
      <alignment horizontal="left" vertical="center" wrapText="1"/>
    </xf>
    <xf numFmtId="9" fontId="35" fillId="5" borderId="3" xfId="0" applyNumberFormat="1" applyFont="1" applyFill="1" applyBorder="1" applyAlignment="1" applyProtection="1">
      <alignment horizontal="left" vertical="center" wrapText="1"/>
    </xf>
    <xf numFmtId="0" fontId="35" fillId="5" borderId="3" xfId="0" applyFont="1" applyFill="1" applyBorder="1" applyAlignment="1" applyProtection="1">
      <alignment vertical="center" wrapText="1"/>
    </xf>
    <xf numFmtId="9" fontId="35" fillId="5" borderId="3" xfId="0" applyNumberFormat="1" applyFont="1" applyFill="1" applyBorder="1" applyAlignment="1" applyProtection="1">
      <alignment horizontal="center" vertical="center" wrapText="1"/>
    </xf>
    <xf numFmtId="17" fontId="35" fillId="5" borderId="3" xfId="0" applyNumberFormat="1" applyFont="1" applyFill="1" applyBorder="1" applyAlignment="1" applyProtection="1">
      <alignment horizontal="left" vertical="center" wrapText="1"/>
    </xf>
    <xf numFmtId="0" fontId="0" fillId="8" borderId="0" xfId="0" applyFill="1" applyAlignment="1" applyProtection="1">
      <alignment horizontal="left" vertical="top" wrapText="1"/>
      <protection locked="0"/>
    </xf>
    <xf numFmtId="164" fontId="3" fillId="2" borderId="3" xfId="0" applyNumberFormat="1" applyFont="1" applyFill="1" applyBorder="1" applyAlignment="1" applyProtection="1">
      <alignment horizontal="center" vertical="center" wrapText="1"/>
      <protection locked="0"/>
    </xf>
    <xf numFmtId="164" fontId="20" fillId="18" borderId="3" xfId="0" applyNumberFormat="1" applyFont="1" applyFill="1" applyBorder="1" applyAlignment="1" applyProtection="1">
      <alignment horizontal="center" vertical="center" wrapText="1"/>
      <protection locked="0"/>
    </xf>
    <xf numFmtId="0" fontId="20" fillId="18" borderId="3" xfId="0" applyFont="1" applyFill="1" applyBorder="1" applyAlignment="1" applyProtection="1">
      <alignment horizontal="center" vertical="center" wrapText="1"/>
      <protection locked="0"/>
    </xf>
    <xf numFmtId="0" fontId="20" fillId="18" borderId="3" xfId="0" applyFont="1" applyFill="1" applyBorder="1" applyAlignment="1" applyProtection="1">
      <alignment horizontal="center" wrapText="1"/>
      <protection locked="0"/>
    </xf>
    <xf numFmtId="0" fontId="0" fillId="0" borderId="0" xfId="0"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6" fillId="0" borderId="0" xfId="0" applyFont="1" applyAlignment="1" applyProtection="1">
      <alignment horizontal="left" vertical="top" wrapText="1"/>
      <protection locked="0"/>
    </xf>
    <xf numFmtId="0" fontId="35" fillId="5" borderId="0" xfId="0" applyFont="1" applyFill="1" applyBorder="1" applyAlignment="1" applyProtection="1">
      <alignment horizontal="left" vertical="center" wrapText="1"/>
    </xf>
    <xf numFmtId="0" fontId="0" fillId="5" borderId="3" xfId="0" applyFill="1" applyBorder="1" applyAlignment="1" applyProtection="1">
      <alignment horizontal="left" vertical="top" wrapText="1"/>
    </xf>
    <xf numFmtId="0" fontId="6" fillId="8" borderId="0" xfId="0" applyFont="1" applyFill="1" applyAlignment="1" applyProtection="1">
      <alignment horizontal="left" vertical="center" wrapText="1"/>
      <protection locked="0"/>
    </xf>
    <xf numFmtId="0" fontId="0" fillId="8" borderId="0" xfId="0" applyFont="1" applyFill="1" applyAlignment="1" applyProtection="1">
      <alignment horizontal="left" vertical="top" wrapText="1"/>
      <protection locked="0"/>
    </xf>
    <xf numFmtId="0" fontId="52" fillId="8" borderId="3" xfId="0" applyFont="1" applyFill="1" applyBorder="1" applyAlignment="1" applyProtection="1">
      <alignment horizontal="left" vertical="center" wrapText="1"/>
      <protection locked="0"/>
    </xf>
    <xf numFmtId="0" fontId="52" fillId="8" borderId="3" xfId="0" applyFont="1" applyFill="1" applyBorder="1" applyAlignment="1" applyProtection="1">
      <alignment horizontal="left" vertical="top" wrapText="1"/>
      <protection locked="0"/>
    </xf>
    <xf numFmtId="164" fontId="63" fillId="18" borderId="3" xfId="0" applyNumberFormat="1" applyFont="1" applyFill="1" applyBorder="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0" fillId="0" borderId="0" xfId="0" applyFont="1" applyAlignment="1" applyProtection="1">
      <alignment horizontal="left" vertical="top" wrapText="1"/>
      <protection locked="0"/>
    </xf>
    <xf numFmtId="0" fontId="50" fillId="0" borderId="0" xfId="0" applyFont="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9" fontId="52" fillId="8" borderId="3" xfId="0" applyNumberFormat="1" applyFont="1" applyFill="1" applyBorder="1" applyAlignment="1" applyProtection="1">
      <alignment horizontal="left" vertical="center" wrapText="1"/>
      <protection locked="0"/>
    </xf>
    <xf numFmtId="0" fontId="52" fillId="0" borderId="3" xfId="0" applyFont="1" applyFill="1" applyBorder="1" applyAlignment="1" applyProtection="1">
      <alignment horizontal="left" vertical="center" wrapText="1"/>
      <protection locked="0"/>
    </xf>
    <xf numFmtId="0" fontId="35" fillId="8" borderId="3" xfId="0" applyFont="1" applyFill="1" applyBorder="1" applyAlignment="1" applyProtection="1">
      <alignment horizontal="left" vertical="center" wrapText="1"/>
      <protection locked="0"/>
    </xf>
    <xf numFmtId="0" fontId="52" fillId="8" borderId="0" xfId="0" applyFont="1" applyFill="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5" fillId="0" borderId="3" xfId="0" applyFont="1" applyFill="1" applyBorder="1" applyAlignment="1" applyProtection="1">
      <alignment horizontal="left" vertical="center" wrapText="1"/>
      <protection locked="0"/>
    </xf>
    <xf numFmtId="0" fontId="2" fillId="10" borderId="8" xfId="2" applyFont="1" applyFill="1" applyAlignment="1">
      <alignment horizontal="center" vertical="center" wrapText="1"/>
    </xf>
    <xf numFmtId="0" fontId="60" fillId="9" borderId="49" xfId="3" applyFont="1" applyFill="1" applyBorder="1" applyAlignment="1" applyProtection="1">
      <alignment horizontal="center" vertical="center" wrapText="1"/>
    </xf>
    <xf numFmtId="0" fontId="60" fillId="9" borderId="50" xfId="3" applyFont="1" applyFill="1" applyBorder="1" applyAlignment="1" applyProtection="1">
      <alignment horizontal="center" vertical="center" wrapText="1"/>
    </xf>
    <xf numFmtId="0" fontId="60" fillId="9" borderId="51" xfId="3" applyFont="1" applyFill="1" applyBorder="1" applyAlignment="1" applyProtection="1">
      <alignment horizontal="center" vertical="center" wrapText="1"/>
    </xf>
    <xf numFmtId="0" fontId="2" fillId="10" borderId="9" xfId="2" applyFont="1" applyFill="1" applyBorder="1" applyAlignment="1">
      <alignment horizontal="center" vertical="center" wrapText="1"/>
    </xf>
    <xf numFmtId="0" fontId="2" fillId="10" borderId="0" xfId="2" applyFont="1" applyFill="1" applyBorder="1" applyAlignment="1">
      <alignment horizontal="center" vertical="center" wrapText="1"/>
    </xf>
    <xf numFmtId="0" fontId="2" fillId="10" borderId="8" xfId="2" applyFont="1" applyFill="1" applyBorder="1" applyAlignment="1">
      <alignment horizontal="center" vertical="center" wrapText="1"/>
    </xf>
    <xf numFmtId="0" fontId="2" fillId="9" borderId="9" xfId="2" applyFont="1" applyFill="1" applyBorder="1" applyAlignment="1">
      <alignment horizontal="center" vertical="center" wrapText="1"/>
    </xf>
    <xf numFmtId="0" fontId="2" fillId="9" borderId="0" xfId="2" applyFont="1" applyFill="1" applyBorder="1" applyAlignment="1">
      <alignment horizontal="center" vertical="center" wrapText="1"/>
    </xf>
    <xf numFmtId="0" fontId="2" fillId="9" borderId="8" xfId="2" applyFont="1" applyFill="1" applyBorder="1" applyAlignment="1">
      <alignment horizontal="center" vertical="center" wrapText="1"/>
    </xf>
    <xf numFmtId="0" fontId="2" fillId="12" borderId="8" xfId="2" applyFont="1" applyFill="1" applyAlignment="1">
      <alignment horizontal="center" vertical="center" wrapText="1"/>
    </xf>
    <xf numFmtId="1" fontId="61" fillId="9" borderId="33" xfId="0" applyNumberFormat="1" applyFont="1" applyFill="1" applyBorder="1" applyAlignment="1" applyProtection="1">
      <alignment horizontal="left" vertical="center" wrapText="1"/>
    </xf>
    <xf numFmtId="1" fontId="61" fillId="9" borderId="34" xfId="0" applyNumberFormat="1" applyFont="1" applyFill="1" applyBorder="1" applyAlignment="1" applyProtection="1">
      <alignment horizontal="left" vertical="center" wrapText="1"/>
    </xf>
    <xf numFmtId="1" fontId="61" fillId="9" borderId="35" xfId="0" applyNumberFormat="1" applyFont="1" applyFill="1" applyBorder="1" applyAlignment="1" applyProtection="1">
      <alignment horizontal="left" vertical="center" wrapText="1"/>
    </xf>
    <xf numFmtId="0" fontId="2" fillId="7" borderId="3" xfId="0" applyFont="1" applyFill="1" applyBorder="1" applyAlignment="1">
      <alignment vertical="center" wrapText="1"/>
    </xf>
    <xf numFmtId="0" fontId="2" fillId="0" borderId="7" xfId="0" applyFont="1" applyFill="1" applyBorder="1" applyAlignment="1">
      <alignment horizontal="center" vertical="center" wrapText="1"/>
    </xf>
    <xf numFmtId="10" fontId="7" fillId="0" borderId="3" xfId="0" applyNumberFormat="1" applyFont="1" applyFill="1" applyBorder="1" applyAlignment="1">
      <alignment horizontal="center" vertical="center" wrapText="1"/>
    </xf>
    <xf numFmtId="10" fontId="21" fillId="7" borderId="3" xfId="0" applyNumberFormat="1" applyFont="1" applyFill="1" applyBorder="1" applyAlignment="1">
      <alignment horizontal="center" vertical="center" wrapText="1"/>
    </xf>
    <xf numFmtId="10" fontId="10" fillId="4" borderId="3" xfId="0" applyNumberFormat="1" applyFont="1" applyFill="1" applyBorder="1" applyAlignment="1">
      <alignment horizontal="center" vertical="center" wrapText="1"/>
    </xf>
    <xf numFmtId="10" fontId="21" fillId="6" borderId="3" xfId="0" applyNumberFormat="1"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10" fontId="7" fillId="0" borderId="11" xfId="0" applyNumberFormat="1" applyFont="1" applyFill="1" applyBorder="1" applyAlignment="1">
      <alignment horizontal="center" vertical="center" wrapText="1"/>
    </xf>
    <xf numFmtId="10" fontId="7" fillId="0" borderId="4" xfId="0" applyNumberFormat="1" applyFont="1" applyFill="1" applyBorder="1" applyAlignment="1">
      <alignment horizontal="center" vertical="center" wrapText="1"/>
    </xf>
    <xf numFmtId="0" fontId="47" fillId="9" borderId="33" xfId="0" applyFont="1" applyFill="1" applyBorder="1" applyAlignment="1">
      <alignment horizontal="left" vertical="center" wrapText="1"/>
    </xf>
    <xf numFmtId="0" fontId="47" fillId="9" borderId="34" xfId="0" applyFont="1" applyFill="1" applyBorder="1" applyAlignment="1">
      <alignment horizontal="left" vertical="center" wrapText="1"/>
    </xf>
    <xf numFmtId="0" fontId="47" fillId="9" borderId="35" xfId="0" applyFont="1" applyFill="1" applyBorder="1" applyAlignment="1">
      <alignment horizontal="left" vertical="center" wrapText="1"/>
    </xf>
    <xf numFmtId="0" fontId="47" fillId="9" borderId="36" xfId="0" applyFont="1" applyFill="1" applyBorder="1" applyAlignment="1">
      <alignment horizontal="left" vertical="center" wrapText="1"/>
    </xf>
    <xf numFmtId="0" fontId="47" fillId="9" borderId="0" xfId="0" applyFont="1" applyFill="1" applyBorder="1" applyAlignment="1">
      <alignment horizontal="left" vertical="center" wrapText="1"/>
    </xf>
    <xf numFmtId="0" fontId="47" fillId="9" borderId="37" xfId="0" applyFont="1" applyFill="1" applyBorder="1" applyAlignment="1">
      <alignment horizontal="left" vertical="center" wrapText="1"/>
    </xf>
    <xf numFmtId="0" fontId="47" fillId="9" borderId="38" xfId="0" applyFont="1" applyFill="1" applyBorder="1" applyAlignment="1">
      <alignment horizontal="left" vertical="center" wrapText="1"/>
    </xf>
    <xf numFmtId="0" fontId="47" fillId="9" borderId="39" xfId="0" applyFont="1" applyFill="1" applyBorder="1" applyAlignment="1">
      <alignment horizontal="left" vertical="center" wrapText="1"/>
    </xf>
    <xf numFmtId="0" fontId="47" fillId="9" borderId="40" xfId="0" applyFont="1" applyFill="1" applyBorder="1" applyAlignment="1">
      <alignment horizontal="left" vertical="center" wrapText="1"/>
    </xf>
    <xf numFmtId="10" fontId="7" fillId="0" borderId="3" xfId="0" applyNumberFormat="1" applyFont="1" applyFill="1" applyBorder="1" applyAlignment="1">
      <alignment vertical="center" wrapText="1"/>
    </xf>
    <xf numFmtId="10" fontId="21" fillId="4" borderId="3" xfId="0" applyNumberFormat="1" applyFont="1" applyFill="1" applyBorder="1" applyAlignment="1">
      <alignment horizontal="center" vertical="center" wrapText="1"/>
    </xf>
    <xf numFmtId="0" fontId="2" fillId="0" borderId="7" xfId="0" applyFont="1" applyFill="1" applyBorder="1" applyAlignment="1">
      <alignment vertical="center" wrapText="1"/>
    </xf>
    <xf numFmtId="10" fontId="7" fillId="0" borderId="2" xfId="0" applyNumberFormat="1" applyFont="1" applyFill="1" applyBorder="1" applyAlignment="1">
      <alignment vertical="center" wrapText="1"/>
    </xf>
    <xf numFmtId="10" fontId="7" fillId="0" borderId="11" xfId="0" applyNumberFormat="1" applyFont="1" applyFill="1" applyBorder="1" applyAlignment="1">
      <alignment vertical="center" wrapText="1"/>
    </xf>
    <xf numFmtId="10" fontId="7" fillId="0" borderId="4" xfId="0" applyNumberFormat="1" applyFont="1" applyFill="1" applyBorder="1" applyAlignment="1">
      <alignment vertical="center" wrapText="1"/>
    </xf>
    <xf numFmtId="0" fontId="2" fillId="0" borderId="3" xfId="0" applyFont="1" applyFill="1" applyBorder="1" applyAlignment="1">
      <alignment vertical="center" wrapText="1"/>
    </xf>
    <xf numFmtId="0" fontId="47" fillId="8" borderId="29" xfId="0" applyFont="1" applyFill="1" applyBorder="1" applyAlignment="1">
      <alignment horizontal="center" vertical="center" wrapText="1"/>
    </xf>
    <xf numFmtId="0" fontId="47" fillId="8" borderId="30" xfId="0" applyFont="1" applyFill="1" applyBorder="1" applyAlignment="1">
      <alignment horizontal="center" vertical="center" wrapText="1"/>
    </xf>
    <xf numFmtId="0" fontId="32" fillId="16" borderId="19" xfId="0" applyFont="1" applyFill="1" applyBorder="1" applyAlignment="1">
      <alignment horizontal="center" vertical="center" wrapText="1"/>
    </xf>
    <xf numFmtId="0" fontId="32" fillId="16" borderId="23" xfId="0" applyFont="1" applyFill="1" applyBorder="1" applyAlignment="1">
      <alignment horizontal="center" vertical="center" wrapText="1"/>
    </xf>
    <xf numFmtId="0" fontId="33" fillId="7" borderId="24" xfId="0" applyFont="1" applyFill="1" applyBorder="1" applyAlignment="1">
      <alignment horizontal="center" vertical="center" wrapText="1"/>
    </xf>
    <xf numFmtId="0" fontId="33" fillId="7" borderId="25"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1" fontId="11" fillId="9" borderId="41" xfId="0" applyNumberFormat="1" applyFont="1" applyFill="1" applyBorder="1" applyAlignment="1" applyProtection="1">
      <alignment horizontal="left" vertical="center" wrapText="1"/>
    </xf>
    <xf numFmtId="1" fontId="11" fillId="9" borderId="42" xfId="0" applyNumberFormat="1" applyFont="1" applyFill="1" applyBorder="1" applyAlignment="1" applyProtection="1">
      <alignment horizontal="left" vertical="center" wrapText="1"/>
    </xf>
    <xf numFmtId="1" fontId="11" fillId="9" borderId="43" xfId="0" applyNumberFormat="1" applyFont="1" applyFill="1" applyBorder="1" applyAlignment="1" applyProtection="1">
      <alignment horizontal="left" vertical="center" wrapText="1"/>
    </xf>
    <xf numFmtId="1" fontId="11" fillId="9" borderId="44" xfId="0" applyNumberFormat="1" applyFont="1" applyFill="1" applyBorder="1" applyAlignment="1" applyProtection="1">
      <alignment horizontal="left" vertical="center" wrapText="1"/>
    </xf>
    <xf numFmtId="1" fontId="11" fillId="9" borderId="0" xfId="0" applyNumberFormat="1" applyFont="1" applyFill="1" applyBorder="1" applyAlignment="1" applyProtection="1">
      <alignment horizontal="left" vertical="center" wrapText="1"/>
    </xf>
    <xf numFmtId="1" fontId="11" fillId="9" borderId="45" xfId="0" applyNumberFormat="1" applyFont="1" applyFill="1" applyBorder="1" applyAlignment="1" applyProtection="1">
      <alignment horizontal="left" vertical="center" wrapText="1"/>
    </xf>
    <xf numFmtId="1" fontId="11" fillId="9" borderId="46" xfId="0" applyNumberFormat="1" applyFont="1" applyFill="1" applyBorder="1" applyAlignment="1" applyProtection="1">
      <alignment horizontal="left" vertical="center" wrapText="1"/>
    </xf>
    <xf numFmtId="1" fontId="11" fillId="9" borderId="47" xfId="0" applyNumberFormat="1" applyFont="1" applyFill="1" applyBorder="1" applyAlignment="1" applyProtection="1">
      <alignment horizontal="left" vertical="center" wrapText="1"/>
    </xf>
    <xf numFmtId="1" fontId="11" fillId="9" borderId="48" xfId="0" applyNumberFormat="1" applyFont="1" applyFill="1" applyBorder="1" applyAlignment="1" applyProtection="1">
      <alignment horizontal="left" vertical="center" wrapText="1"/>
    </xf>
  </cellXfs>
  <cellStyles count="5">
    <cellStyle name="Heading 2" xfId="2" builtinId="17"/>
    <cellStyle name="Hyperlink" xfId="3" builtinId="8"/>
    <cellStyle name="Normal" xfId="0" builtinId="0"/>
    <cellStyle name="Normal 2 2" xfId="1"/>
    <cellStyle name="Percent" xfId="4" builtinId="5"/>
  </cellStyles>
  <dxfs count="4565">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
      <font>
        <b/>
        <i val="0"/>
      </font>
      <fill>
        <patternFill>
          <bgColor rgb="FFFF0000"/>
        </patternFill>
      </fill>
    </dxf>
    <dxf>
      <fill>
        <patternFill>
          <bgColor rgb="FFFFC000"/>
        </patternFill>
      </fill>
    </dxf>
    <dxf>
      <fill>
        <patternFill>
          <bgColor rgb="FF00B0F0"/>
        </patternFill>
      </fill>
    </dxf>
    <dxf>
      <fill>
        <patternFill>
          <bgColor rgb="FFFF00FF"/>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b/>
        <i val="0"/>
      </font>
      <fill>
        <patternFill>
          <bgColor rgb="FF00B0F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auto="1"/>
      </font>
      <fill>
        <patternFill>
          <bgColor theme="0" tint="-0.34998626667073579"/>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font>
      <fill>
        <patternFill>
          <bgColor rgb="FF92D05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color auto="1"/>
      </font>
      <fill>
        <patternFill>
          <fgColor rgb="FF92D050"/>
        </patternFill>
      </fill>
    </dxf>
    <dxf>
      <font>
        <b val="0"/>
        <i val="0"/>
      </font>
      <fill>
        <patternFill>
          <bgColor rgb="FF92D050"/>
        </patternFill>
      </fill>
    </dxf>
  </dxfs>
  <tableStyles count="0" defaultTableStyle="TableStyleMedium9" defaultPivotStyle="PivotStyleLight16"/>
  <colors>
    <mruColors>
      <color rgb="FFFFFFFF"/>
      <color rgb="FF00863D"/>
      <color rgb="FFFF00FF"/>
      <color rgb="FFEFEFFF"/>
      <color rgb="FFCAE8AA"/>
      <color rgb="FFFFFF99"/>
      <color rgb="FFFFFFCC"/>
      <color rgb="FF0066FF"/>
      <color rgb="FFDBE5F1"/>
      <color rgb="FFD9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OVERALL PERFORMANCE</a:t>
            </a:r>
          </a:p>
          <a:p>
            <a:pPr>
              <a:defRPr lang="en-US"/>
            </a:pPr>
            <a:r>
              <a:rPr lang="en-US" sz="1100">
                <a:latin typeface="Arial" pitchFamily="34" charset="0"/>
                <a:cs typeface="Arial" pitchFamily="34" charset="0"/>
              </a:rPr>
              <a:t>% of all Corporate Plan indicators that are Red, Amber or Green</a:t>
            </a:r>
          </a:p>
        </c:rich>
      </c:tx>
      <c:overlay val="0"/>
    </c:title>
    <c:autoTitleDeleted val="0"/>
    <c:plotArea>
      <c:layout/>
      <c:lineChart>
        <c:grouping val="standard"/>
        <c:varyColors val="0"/>
        <c:ser>
          <c:idx val="0"/>
          <c:order val="0"/>
          <c:tx>
            <c:strRef>
              <c:f>'4. CHARTS BY PRIORITY'!$AY$7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'4. CHARTS BY PRIORITY'!$AZ$6:$BC$6</c:f>
              <c:strCache>
                <c:ptCount val="4"/>
                <c:pt idx="0">
                  <c:v>Q1</c:v>
                </c:pt>
                <c:pt idx="1">
                  <c:v>Q2</c:v>
                </c:pt>
                <c:pt idx="2">
                  <c:v>Q3</c:v>
                </c:pt>
                <c:pt idx="3">
                  <c:v>Q4</c:v>
                </c:pt>
              </c:strCache>
            </c:strRef>
          </c:cat>
          <c:val>
            <c:numRef>
              <c:f>'4. CHARTS BY PRIORITY'!$AZ$7:$BC$7</c:f>
              <c:numCache>
                <c:formatCode>0.00%</c:formatCode>
                <c:ptCount val="4"/>
                <c:pt idx="0">
                  <c:v>0.9885057471264368</c:v>
                </c:pt>
                <c:pt idx="1">
                  <c:v>0.99038461538461542</c:v>
                </c:pt>
                <c:pt idx="2">
                  <c:v>0.9642857142857143</c:v>
                </c:pt>
                <c:pt idx="3">
                  <c:v>0</c:v>
                </c:pt>
              </c:numCache>
            </c:numRef>
          </c:val>
          <c:smooth val="0"/>
          <c:extLst xmlns:c16r2="http://schemas.microsoft.com/office/drawing/2015/06/chart">
            <c:ext xmlns:c16="http://schemas.microsoft.com/office/drawing/2014/chart" uri="{C3380CC4-5D6E-409C-BE32-E72D297353CC}">
              <c16:uniqueId val="{00000000-50E2-458F-8C24-A0159BB694B2}"/>
            </c:ext>
          </c:extLst>
        </c:ser>
        <c:ser>
          <c:idx val="1"/>
          <c:order val="1"/>
          <c:tx>
            <c:strRef>
              <c:f>'4. CHARTS BY PRIORITY'!$AY$8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0E2-458F-8C24-A0159BB694B2}"/>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'4. CHARTS BY PRIORITY'!$AZ$6:$BC$6</c:f>
              <c:strCache>
                <c:ptCount val="4"/>
                <c:pt idx="0">
                  <c:v>Q1</c:v>
                </c:pt>
                <c:pt idx="1">
                  <c:v>Q2</c:v>
                </c:pt>
                <c:pt idx="2">
                  <c:v>Q3</c:v>
                </c:pt>
                <c:pt idx="3">
                  <c:v>Q4</c:v>
                </c:pt>
              </c:strCache>
            </c:strRef>
          </c:cat>
          <c:val>
            <c:numRef>
              <c:f>'4. CHARTS BY PRIORITY'!$AZ$8:$BC$8</c:f>
              <c:numCache>
                <c:formatCode>0.00%</c:formatCode>
                <c:ptCount val="4"/>
                <c:pt idx="0">
                  <c:v>0</c:v>
                </c:pt>
                <c:pt idx="1">
                  <c:v>0</c:v>
                </c:pt>
                <c:pt idx="2">
                  <c:v>2.6785714285714284E-2</c:v>
                </c:pt>
                <c:pt idx="3">
                  <c:v>0</c:v>
                </c:pt>
              </c:numCache>
            </c:numRef>
          </c:val>
          <c:smooth val="0"/>
          <c:extLst xmlns:c16r2="http://schemas.microsoft.com/office/drawing/2015/06/chart">
            <c:ext xmlns:c16="http://schemas.microsoft.com/office/drawing/2014/chart" uri="{C3380CC4-5D6E-409C-BE32-E72D297353CC}">
              <c16:uniqueId val="{00000002-50E2-458F-8C24-A0159BB694B2}"/>
            </c:ext>
          </c:extLst>
        </c:ser>
        <c:ser>
          <c:idx val="2"/>
          <c:order val="2"/>
          <c:tx>
            <c:strRef>
              <c:f>'4. CHARTS BY PRIORITY'!$AY$9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0E2-458F-8C24-A0159BB694B2}"/>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'4. CHARTS BY PRIORITY'!$AZ$6:$BC$6</c:f>
              <c:strCache>
                <c:ptCount val="4"/>
                <c:pt idx="0">
                  <c:v>Q1</c:v>
                </c:pt>
                <c:pt idx="1">
                  <c:v>Q2</c:v>
                </c:pt>
                <c:pt idx="2">
                  <c:v>Q3</c:v>
                </c:pt>
                <c:pt idx="3">
                  <c:v>Q4</c:v>
                </c:pt>
              </c:strCache>
            </c:strRef>
          </c:cat>
          <c:val>
            <c:numRef>
              <c:f>'4. CHARTS BY PRIORITY'!$AZ$9:$BC$9</c:f>
              <c:numCache>
                <c:formatCode>0.00%</c:formatCode>
                <c:ptCount val="4"/>
                <c:pt idx="0">
                  <c:v>1.1494252873563218E-2</c:v>
                </c:pt>
                <c:pt idx="1">
                  <c:v>9.6153846153846159E-3</c:v>
                </c:pt>
                <c:pt idx="2">
                  <c:v>8.9285714285714281E-3</c:v>
                </c:pt>
                <c:pt idx="3">
                  <c:v>0</c:v>
                </c:pt>
              </c:numCache>
            </c:numRef>
          </c:val>
          <c:smooth val="0"/>
          <c:extLst xmlns:c16r2="http://schemas.microsoft.com/office/drawing/2015/06/chart">
            <c:ext xmlns:c16="http://schemas.microsoft.com/office/drawing/2014/chart" uri="{C3380CC4-5D6E-409C-BE32-E72D297353CC}">
              <c16:uniqueId val="{00000004-50E2-458F-8C24-A0159BB694B2}"/>
            </c:ext>
          </c:extLst>
        </c:ser>
        <c:dLbls>
          <c:showLegendKey val="0"/>
          <c:showVal val="1"/>
          <c:showCatName val="0"/>
          <c:showSerName val="0"/>
          <c:showPercent val="0"/>
          <c:showBubbleSize val="0"/>
        </c:dLbls>
        <c:smooth val="0"/>
        <c:axId val="346036800"/>
        <c:axId val="346037192"/>
      </c:lineChart>
      <c:catAx>
        <c:axId val="346036800"/>
        <c:scaling>
          <c:orientation val="minMax"/>
        </c:scaling>
        <c:delete val="0"/>
        <c:axPos val="b"/>
        <c:numFmt formatCode="General" sourceLinked="0"/>
        <c:majorTickMark val="out"/>
        <c:minorTickMark val="none"/>
        <c:tickLblPos val="nextTo"/>
        <c:txPr>
          <a:bodyPr/>
          <a:lstStyle/>
          <a:p>
            <a:pPr>
              <a:defRPr lang="en-US"/>
            </a:pPr>
            <a:endParaRPr lang="en-US"/>
          </a:p>
        </c:txPr>
        <c:crossAx val="346037192"/>
        <c:crosses val="autoZero"/>
        <c:auto val="1"/>
        <c:lblAlgn val="ctr"/>
        <c:lblOffset val="100"/>
        <c:noMultiLvlLbl val="0"/>
      </c:catAx>
      <c:valAx>
        <c:axId val="34603719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4603680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SERVICES -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7991-448C-94F6-A903985AC430}"/>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7991-448C-94F6-A903985AC430}"/>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7991-448C-94F6-A903985AC430}"/>
              </c:ext>
            </c:extLst>
          </c:dPt>
          <c:cat>
            <c:strRef>
              <c:f>'4. CHARTS BY PRIORITY'!$AY$23:$AY$25</c:f>
              <c:strCache>
                <c:ptCount val="3"/>
                <c:pt idx="0">
                  <c:v>Green</c:v>
                </c:pt>
                <c:pt idx="1">
                  <c:v>Amber</c:v>
                </c:pt>
                <c:pt idx="2">
                  <c:v>Red</c:v>
                </c:pt>
              </c:strCache>
            </c:strRef>
          </c:cat>
          <c:val>
            <c:numRef>
              <c:f>'4. CHARTS BY PRIORITY'!$BA$23:$BA$25</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7991-448C-94F6-A903985AC430}"/>
            </c:ext>
          </c:extLst>
        </c:ser>
        <c:dLbls>
          <c:showLegendKey val="0"/>
          <c:showVal val="0"/>
          <c:showCatName val="0"/>
          <c:showSerName val="0"/>
          <c:showPercent val="0"/>
          <c:showBubbleSize val="0"/>
          <c:showLeaderLines val="1"/>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PROMOTING LOCAL ECONOMIC GROWTH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7626-4C92-9DA5-F959AE20197F}"/>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7626-4C92-9DA5-F959AE20197F}"/>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7626-4C92-9DA5-F959AE20197F}"/>
              </c:ext>
            </c:extLst>
          </c:dPt>
          <c:cat>
            <c:multiLvlStrRef>
              <c:f>'4. CHARTS BY PRIORITY'!$AY$39:$AY$41</c:f>
            </c:multiLvlStrRef>
          </c:cat>
          <c:val>
            <c:numRef>
              <c:f>'4. CHARTS BY PRIORITY'!$BA$39:$BA$41</c:f>
            </c:numRef>
          </c:val>
          <c:extLst xmlns:c16r2="http://schemas.microsoft.com/office/drawing/2015/06/chart">
            <c:ext xmlns:c16="http://schemas.microsoft.com/office/drawing/2014/chart" uri="{C3380CC4-5D6E-409C-BE32-E72D297353CC}">
              <c16:uniqueId val="{00000003-7626-4C92-9DA5-F959AE20197F}"/>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PROTECTING AND STRENGTHENING COMMUNITIES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88C3-4D15-B08D-6B38A26E9AA9}"/>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88C3-4D15-B08D-6B38A26E9AA9}"/>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88C3-4D15-B08D-6B38A26E9AA9}"/>
              </c:ext>
            </c:extLst>
          </c:dPt>
          <c:cat>
            <c:multiLvlStrRef>
              <c:f>'4. CHARTS BY PRIORITY'!$AY$55:$AY$57</c:f>
            </c:multiLvlStrRef>
          </c:cat>
          <c:val>
            <c:numRef>
              <c:f>'4. CHARTS BY PRIORITY'!$BA$55:$BA$57</c:f>
            </c:numRef>
          </c:val>
          <c:extLst xmlns:c16r2="http://schemas.microsoft.com/office/drawing/2015/06/chart">
            <c:ext xmlns:c16="http://schemas.microsoft.com/office/drawing/2014/chart" uri="{C3380CC4-5D6E-409C-BE32-E72D297353CC}">
              <c16:uniqueId val="{00000003-88C3-4D15-B08D-6B38A26E9AA9}"/>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A76D-4A4D-AF29-27A678BFA3C0}"/>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A76D-4A4D-AF29-27A678BFA3C0}"/>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A76D-4A4D-AF29-27A678BFA3C0}"/>
              </c:ext>
            </c:extLst>
          </c:dPt>
          <c:cat>
            <c:strRef>
              <c:f>'4. CHARTS BY PRIORITY'!$AY$7:$AY$9</c:f>
              <c:strCache>
                <c:ptCount val="3"/>
                <c:pt idx="0">
                  <c:v>Green</c:v>
                </c:pt>
                <c:pt idx="1">
                  <c:v>Amber</c:v>
                </c:pt>
                <c:pt idx="2">
                  <c:v>Red</c:v>
                </c:pt>
              </c:strCache>
            </c:strRef>
          </c:cat>
          <c:val>
            <c:numRef>
              <c:f>'4. CHARTS BY PRIORITY'!$BB$7:$BB$9</c:f>
              <c:numCache>
                <c:formatCode>0.00%</c:formatCode>
                <c:ptCount val="3"/>
                <c:pt idx="0">
                  <c:v>0.9642857142857143</c:v>
                </c:pt>
                <c:pt idx="1">
                  <c:v>2.6785714285714284E-2</c:v>
                </c:pt>
                <c:pt idx="2">
                  <c:v>8.9285714285714281E-3</c:v>
                </c:pt>
              </c:numCache>
            </c:numRef>
          </c:val>
          <c:extLst xmlns:c16r2="http://schemas.microsoft.com/office/drawing/2015/06/chart">
            <c:ext xmlns:c16="http://schemas.microsoft.com/office/drawing/2014/chart" uri="{C3380CC4-5D6E-409C-BE32-E72D297353CC}">
              <c16:uniqueId val="{00000003-A76D-4A4D-AF29-27A678BFA3C0}"/>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951C-4A11-9328-12E5957BA4BE}"/>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951C-4A11-9328-12E5957BA4BE}"/>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951C-4A11-9328-12E5957BA4BE}"/>
              </c:ext>
            </c:extLst>
          </c:dPt>
          <c:cat>
            <c:strRef>
              <c:f>'4. CHARTS BY PRIORITY'!$AY$7:$AY$9</c:f>
              <c:strCache>
                <c:ptCount val="3"/>
                <c:pt idx="0">
                  <c:v>Green</c:v>
                </c:pt>
                <c:pt idx="1">
                  <c:v>Amber</c:v>
                </c:pt>
                <c:pt idx="2">
                  <c:v>Red</c:v>
                </c:pt>
              </c:strCache>
            </c:strRef>
          </c:cat>
          <c:val>
            <c:numRef>
              <c:f>'4. CHARTS BY PRIORITY'!$BC$7:$BC$9</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951C-4A11-9328-12E5957BA4BE}"/>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SERVICES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7641-4598-B934-C23B09C1EA21}"/>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7641-4598-B934-C23B09C1EA21}"/>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7641-4598-B934-C23B09C1EA21}"/>
              </c:ext>
            </c:extLst>
          </c:dPt>
          <c:cat>
            <c:strRef>
              <c:f>'4. CHARTS BY PRIORITY'!$AY$23:$AY$25</c:f>
              <c:strCache>
                <c:ptCount val="3"/>
                <c:pt idx="0">
                  <c:v>Green</c:v>
                </c:pt>
                <c:pt idx="1">
                  <c:v>Amber</c:v>
                </c:pt>
                <c:pt idx="2">
                  <c:v>Red</c:v>
                </c:pt>
              </c:strCache>
            </c:strRef>
          </c:cat>
          <c:val>
            <c:numRef>
              <c:f>'4. CHARTS BY PRIORITY'!$BB$23:$BB$25</c:f>
              <c:numCache>
                <c:formatCode>0.00%</c:formatCode>
                <c:ptCount val="3"/>
                <c:pt idx="0">
                  <c:v>0.98245614035087714</c:v>
                </c:pt>
                <c:pt idx="1">
                  <c:v>1.7543859649122806E-2</c:v>
                </c:pt>
                <c:pt idx="2">
                  <c:v>0</c:v>
                </c:pt>
              </c:numCache>
            </c:numRef>
          </c:val>
          <c:extLst xmlns:c16r2="http://schemas.microsoft.com/office/drawing/2015/06/chart">
            <c:ext xmlns:c16="http://schemas.microsoft.com/office/drawing/2014/chart" uri="{C3380CC4-5D6E-409C-BE32-E72D297353CC}">
              <c16:uniqueId val="{00000003-7641-4598-B934-C23B09C1EA21}"/>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SERVICES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0A41-4000-A8E2-478BCE1665AD}"/>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0A41-4000-A8E2-478BCE1665AD}"/>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0A41-4000-A8E2-478BCE1665AD}"/>
              </c:ext>
            </c:extLst>
          </c:dPt>
          <c:cat>
            <c:strRef>
              <c:f>'4. CHARTS BY PRIORITY'!$AY$23:$AY$25</c:f>
              <c:strCache>
                <c:ptCount val="3"/>
                <c:pt idx="0">
                  <c:v>Green</c:v>
                </c:pt>
                <c:pt idx="1">
                  <c:v>Amber</c:v>
                </c:pt>
                <c:pt idx="2">
                  <c:v>Red</c:v>
                </c:pt>
              </c:strCache>
            </c:strRef>
          </c:cat>
          <c:val>
            <c:numRef>
              <c:f>'4. CHARTS BY PRIORITY'!$BC$23:$BC$25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0A41-4000-A8E2-478BCE1665AD}"/>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PROMOTING LOCAL ECONOMIC GROWTH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BA9B-478A-B2A9-1B9D10175A4B}"/>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BA9B-478A-B2A9-1B9D10175A4B}"/>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BA9B-478A-B2A9-1B9D10175A4B}"/>
              </c:ext>
            </c:extLst>
          </c:dPt>
          <c:cat>
            <c:multiLvlStrRef>
              <c:f>'4. CHARTS BY PRIORITY'!$AY$39:$AY$41</c:f>
            </c:multiLvlStrRef>
          </c:cat>
          <c:val>
            <c:numRef>
              <c:f>'4. CHARTS BY PRIORITY'!$BB$39:$BB$41</c:f>
            </c:numRef>
          </c:val>
          <c:extLst xmlns:c16r2="http://schemas.microsoft.com/office/drawing/2015/06/chart">
            <c:ext xmlns:c16="http://schemas.microsoft.com/office/drawing/2014/chart" uri="{C3380CC4-5D6E-409C-BE32-E72D297353CC}">
              <c16:uniqueId val="{00000003-BA9B-478A-B2A9-1B9D10175A4B}"/>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baseline="0"/>
              <a:t>PROMOTING LOCAL ECONOMIC GROWTH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E504-44CE-97B2-C7B1FE600C20}"/>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E504-44CE-97B2-C7B1FE600C20}"/>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E504-44CE-97B2-C7B1FE600C20}"/>
              </c:ext>
            </c:extLst>
          </c:dPt>
          <c:cat>
            <c:multiLvlStrRef>
              <c:f>'4. CHARTS BY PRIORITY'!$AY$39:$AY$41</c:f>
            </c:multiLvlStrRef>
          </c:cat>
          <c:val>
            <c:numRef>
              <c:f>'4. CHARTS BY PRIORITY'!$BC$39:$BC$41</c:f>
            </c:numRef>
          </c:val>
          <c:extLst xmlns:c16r2="http://schemas.microsoft.com/office/drawing/2015/06/chart">
            <c:ext xmlns:c16="http://schemas.microsoft.com/office/drawing/2014/chart" uri="{C3380CC4-5D6E-409C-BE32-E72D297353CC}">
              <c16:uniqueId val="{00000003-E504-44CE-97B2-C7B1FE600C20}"/>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PROTECTING AND STRENGTHENING COMMUNITIES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B67C-498C-8367-702B3FC4C53B}"/>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B67C-498C-8367-702B3FC4C53B}"/>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B67C-498C-8367-702B3FC4C53B}"/>
              </c:ext>
            </c:extLst>
          </c:dPt>
          <c:cat>
            <c:multiLvlStrRef>
              <c:f>'4. CHARTS BY PRIORITY'!$AY$55:$AY$57</c:f>
            </c:multiLvlStrRef>
          </c:cat>
          <c:val>
            <c:numRef>
              <c:f>'4. CHARTS BY PRIORITY'!$BB$55:$BB$57</c:f>
            </c:numRef>
          </c:val>
          <c:extLst xmlns:c16r2="http://schemas.microsoft.com/office/drawing/2015/06/chart">
            <c:ext xmlns:c16="http://schemas.microsoft.com/office/drawing/2014/chart" uri="{C3380CC4-5D6E-409C-BE32-E72D297353CC}">
              <c16:uniqueId val="{00000003-B67C-498C-8367-702B3FC4C53B}"/>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VALUE FOR</a:t>
            </a:r>
            <a:r>
              <a:rPr lang="en-GB" sz="1200" u="sng" baseline="0">
                <a:latin typeface="Arial" pitchFamily="34" charset="0"/>
                <a:cs typeface="Arial" pitchFamily="34" charset="0"/>
              </a:rPr>
              <a:t> MONEY COUNCIL SERVICES</a:t>
            </a:r>
            <a:endParaRPr lang="en-GB" sz="1200" u="sng">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'4. CHARTS BY PRIORITY'!$AY$23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C7C-4B39-A234-8A7576CDE4FF}"/>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C7C-4B39-A234-8A7576CDE4FF}"/>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'4. CHARTS BY PRIORITY'!$AZ$22:$BC$22</c:f>
              <c:strCache>
                <c:ptCount val="4"/>
                <c:pt idx="0">
                  <c:v>Q1</c:v>
                </c:pt>
                <c:pt idx="1">
                  <c:v>Q2</c:v>
                </c:pt>
                <c:pt idx="2">
                  <c:v>Q3</c:v>
                </c:pt>
                <c:pt idx="3">
                  <c:v>Q4</c:v>
                </c:pt>
              </c:strCache>
            </c:strRef>
          </c:cat>
          <c:val>
            <c:numRef>
              <c:f>'4. CHARTS BY PRIORITY'!$AZ$23:$BC$23</c:f>
              <c:numCache>
                <c:formatCode>0.00%</c:formatCode>
                <c:ptCount val="4"/>
                <c:pt idx="0">
                  <c:v>1</c:v>
                </c:pt>
                <c:pt idx="1">
                  <c:v>1</c:v>
                </c:pt>
                <c:pt idx="2">
                  <c:v>0.98245614035087714</c:v>
                </c:pt>
                <c:pt idx="3">
                  <c:v>0</c:v>
                </c:pt>
              </c:numCache>
            </c:numRef>
          </c:val>
          <c:smooth val="0"/>
          <c:extLst xmlns:c16r2="http://schemas.microsoft.com/office/drawing/2015/06/chart">
            <c:ext xmlns:c16="http://schemas.microsoft.com/office/drawing/2014/chart" uri="{C3380CC4-5D6E-409C-BE32-E72D297353CC}">
              <c16:uniqueId val="{00000002-AC7C-4B39-A234-8A7576CDE4FF}"/>
            </c:ext>
          </c:extLst>
        </c:ser>
        <c:ser>
          <c:idx val="1"/>
          <c:order val="1"/>
          <c:tx>
            <c:strRef>
              <c:f>'4. CHARTS BY PRIORITY'!$AY$24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C7C-4B39-A234-8A7576CDE4FF}"/>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C7C-4B39-A234-8A7576CDE4FF}"/>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'4. CHARTS BY PRIORITY'!$AZ$22:$BC$22</c:f>
              <c:strCache>
                <c:ptCount val="4"/>
                <c:pt idx="0">
                  <c:v>Q1</c:v>
                </c:pt>
                <c:pt idx="1">
                  <c:v>Q2</c:v>
                </c:pt>
                <c:pt idx="2">
                  <c:v>Q3</c:v>
                </c:pt>
                <c:pt idx="3">
                  <c:v>Q4</c:v>
                </c:pt>
              </c:strCache>
            </c:strRef>
          </c:cat>
          <c:val>
            <c:numRef>
              <c:f>'4. CHARTS BY PRIORITY'!$AZ$24:$BC$24</c:f>
              <c:numCache>
                <c:formatCode>0.00%</c:formatCode>
                <c:ptCount val="4"/>
                <c:pt idx="0">
                  <c:v>0</c:v>
                </c:pt>
                <c:pt idx="1">
                  <c:v>0</c:v>
                </c:pt>
                <c:pt idx="2">
                  <c:v>1.7543859649122806E-2</c:v>
                </c:pt>
                <c:pt idx="3">
                  <c:v>0</c:v>
                </c:pt>
              </c:numCache>
            </c:numRef>
          </c:val>
          <c:smooth val="0"/>
          <c:extLst xmlns:c16r2="http://schemas.microsoft.com/office/drawing/2015/06/chart">
            <c:ext xmlns:c16="http://schemas.microsoft.com/office/drawing/2014/chart" uri="{C3380CC4-5D6E-409C-BE32-E72D297353CC}">
              <c16:uniqueId val="{00000005-AC7C-4B39-A234-8A7576CDE4FF}"/>
            </c:ext>
          </c:extLst>
        </c:ser>
        <c:ser>
          <c:idx val="2"/>
          <c:order val="2"/>
          <c:tx>
            <c:strRef>
              <c:f>'4. CHARTS BY PRIORITY'!$AY$25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AC7C-4B39-A234-8A7576CDE4FF}"/>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AC7C-4B39-A234-8A7576CDE4FF}"/>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'4. CHARTS BY PRIORITY'!$AZ$22:$BC$22</c:f>
              <c:strCache>
                <c:ptCount val="4"/>
                <c:pt idx="0">
                  <c:v>Q1</c:v>
                </c:pt>
                <c:pt idx="1">
                  <c:v>Q2</c:v>
                </c:pt>
                <c:pt idx="2">
                  <c:v>Q3</c:v>
                </c:pt>
                <c:pt idx="3">
                  <c:v>Q4</c:v>
                </c:pt>
              </c:strCache>
            </c:strRef>
          </c:cat>
          <c:val>
            <c:numRef>
              <c:f>'4. CHARTS BY PRIORITY'!$AZ$25:$BC$25</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8-AC7C-4B39-A234-8A7576CDE4FF}"/>
            </c:ext>
          </c:extLst>
        </c:ser>
        <c:dLbls>
          <c:showLegendKey val="0"/>
          <c:showVal val="1"/>
          <c:showCatName val="0"/>
          <c:showSerName val="0"/>
          <c:showPercent val="0"/>
          <c:showBubbleSize val="0"/>
        </c:dLbls>
        <c:smooth val="0"/>
        <c:axId val="381872360"/>
        <c:axId val="381873536"/>
      </c:lineChart>
      <c:catAx>
        <c:axId val="381872360"/>
        <c:scaling>
          <c:orientation val="minMax"/>
        </c:scaling>
        <c:delete val="0"/>
        <c:axPos val="b"/>
        <c:numFmt formatCode="General" sourceLinked="0"/>
        <c:majorTickMark val="out"/>
        <c:minorTickMark val="none"/>
        <c:tickLblPos val="nextTo"/>
        <c:txPr>
          <a:bodyPr/>
          <a:lstStyle/>
          <a:p>
            <a:pPr>
              <a:defRPr lang="en-US"/>
            </a:pPr>
            <a:endParaRPr lang="en-US"/>
          </a:p>
        </c:txPr>
        <c:crossAx val="381873536"/>
        <c:crosses val="autoZero"/>
        <c:auto val="1"/>
        <c:lblAlgn val="ctr"/>
        <c:lblOffset val="100"/>
        <c:noMultiLvlLbl val="0"/>
      </c:catAx>
      <c:valAx>
        <c:axId val="38187353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8187236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PROTECTING AND STRENGTHENING COMMUNITIES - End of Year</a:t>
            </a:r>
            <a:endParaRPr lang="en-GB"/>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796159124774768E-2"/>
          <c:y val="0.33291514146016032"/>
          <c:w val="0.81796323866694998"/>
          <c:h val="0.57029011841750465"/>
        </c:manualLayout>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563A-496E-9601-7BADD816C91D}"/>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563A-496E-9601-7BADD816C91D}"/>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563A-496E-9601-7BADD816C91D}"/>
              </c:ext>
            </c:extLst>
          </c:dPt>
          <c:cat>
            <c:multiLvlStrRef>
              <c:f>'4. CHARTS BY PRIORITY'!$AY$55:$AY$57</c:f>
            </c:multiLvlStrRef>
          </c:cat>
          <c:val>
            <c:numRef>
              <c:f>'4. CHARTS BY PRIORITY'!$BC$55:$BC$57</c:f>
            </c:numRef>
          </c:val>
          <c:extLst xmlns:c16r2="http://schemas.microsoft.com/office/drawing/2015/06/chart">
            <c:ext xmlns:c16="http://schemas.microsoft.com/office/drawing/2014/chart" uri="{C3380CC4-5D6E-409C-BE32-E72D297353CC}">
              <c16:uniqueId val="{00000003-563A-496E-9601-7BADD816C91D}"/>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LEADER OF THE COUNCIL</a:t>
            </a:r>
          </a:p>
          <a:p>
            <a:pPr>
              <a:defRPr lang="en-US"/>
            </a:pPr>
            <a:r>
              <a:rPr lang="en-GB" sz="1100" b="1" i="0" baseline="0">
                <a:latin typeface="Arial" pitchFamily="34" charset="0"/>
                <a:cs typeface="Arial" pitchFamily="34" charset="0"/>
              </a:rPr>
              <a:t>% of indicators for this portfolio that are Red, Amber or Green </a:t>
            </a:r>
            <a:endParaRPr lang="en-GB" sz="1100">
              <a:latin typeface="Arial" pitchFamily="34" charset="0"/>
              <a:cs typeface="Arial" pitchFamily="34" charset="0"/>
            </a:endParaRPr>
          </a:p>
        </c:rich>
      </c:tx>
      <c:overlay val="0"/>
    </c:title>
    <c:autoTitleDeleted val="0"/>
    <c:plotArea>
      <c:layout/>
      <c:lineChart>
        <c:grouping val="standard"/>
        <c:varyColors val="0"/>
        <c:ser>
          <c:idx val="0"/>
          <c:order val="0"/>
          <c:tx>
            <c:strRef>
              <c:f>'6. CHARTS BY PORTFOLIO'!$AY$7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'6. CHARTS BY PORTFOLIO'!$AZ$7:$BC$7</c:f>
              <c:numCache>
                <c:formatCode>0.00%</c:formatCode>
                <c:ptCount val="4"/>
                <c:pt idx="0">
                  <c:v>1</c:v>
                </c:pt>
                <c:pt idx="1">
                  <c:v>1</c:v>
                </c:pt>
                <c:pt idx="2">
                  <c:v>0.96875</c:v>
                </c:pt>
                <c:pt idx="3">
                  <c:v>0</c:v>
                </c:pt>
              </c:numCache>
            </c:numRef>
          </c:val>
          <c:smooth val="0"/>
          <c:extLst xmlns:c16r2="http://schemas.microsoft.com/office/drawing/2015/06/chart">
            <c:ext xmlns:c16="http://schemas.microsoft.com/office/drawing/2014/chart" uri="{C3380CC4-5D6E-409C-BE32-E72D297353CC}">
              <c16:uniqueId val="{00000000-A7AA-4C01-967B-CC6BF4FF1F5B}"/>
            </c:ext>
          </c:extLst>
        </c:ser>
        <c:ser>
          <c:idx val="1"/>
          <c:order val="1"/>
          <c:tx>
            <c:strRef>
              <c:f>'6. CHARTS BY PORTFOLIO'!$AY$8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7AA-4C01-967B-CC6BF4FF1F5B}"/>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'6. CHARTS BY PORTFOLIO'!$AZ$8:$BC$8</c:f>
              <c:numCache>
                <c:formatCode>0.00%</c:formatCode>
                <c:ptCount val="4"/>
                <c:pt idx="0">
                  <c:v>0</c:v>
                </c:pt>
                <c:pt idx="1">
                  <c:v>0</c:v>
                </c:pt>
                <c:pt idx="2">
                  <c:v>3.125E-2</c:v>
                </c:pt>
                <c:pt idx="3">
                  <c:v>0</c:v>
                </c:pt>
              </c:numCache>
            </c:numRef>
          </c:val>
          <c:smooth val="0"/>
          <c:extLst xmlns:c16r2="http://schemas.microsoft.com/office/drawing/2015/06/chart">
            <c:ext xmlns:c16="http://schemas.microsoft.com/office/drawing/2014/chart" uri="{C3380CC4-5D6E-409C-BE32-E72D297353CC}">
              <c16:uniqueId val="{00000002-A7AA-4C01-967B-CC6BF4FF1F5B}"/>
            </c:ext>
          </c:extLst>
        </c:ser>
        <c:ser>
          <c:idx val="2"/>
          <c:order val="2"/>
          <c:tx>
            <c:strRef>
              <c:f>'6. CHARTS BY PORTFOLIO'!$AY$9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7AA-4C01-967B-CC6BF4FF1F5B}"/>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'6. CHARTS BY PORTFOLIO'!$AZ$9:$BC$9</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4-A7AA-4C01-967B-CC6BF4FF1F5B}"/>
            </c:ext>
          </c:extLst>
        </c:ser>
        <c:dLbls>
          <c:showLegendKey val="0"/>
          <c:showVal val="1"/>
          <c:showCatName val="0"/>
          <c:showSerName val="0"/>
          <c:showPercent val="0"/>
          <c:showBubbleSize val="0"/>
        </c:dLbls>
        <c:smooth val="0"/>
        <c:axId val="382608184"/>
        <c:axId val="382614848"/>
      </c:lineChart>
      <c:catAx>
        <c:axId val="382608184"/>
        <c:scaling>
          <c:orientation val="minMax"/>
        </c:scaling>
        <c:delete val="0"/>
        <c:axPos val="b"/>
        <c:majorTickMark val="out"/>
        <c:minorTickMark val="none"/>
        <c:tickLblPos val="nextTo"/>
        <c:txPr>
          <a:bodyPr/>
          <a:lstStyle/>
          <a:p>
            <a:pPr>
              <a:defRPr lang="en-US"/>
            </a:pPr>
            <a:endParaRPr lang="en-US"/>
          </a:p>
        </c:txPr>
        <c:crossAx val="382614848"/>
        <c:crosses val="autoZero"/>
        <c:auto val="1"/>
        <c:lblAlgn val="ctr"/>
        <c:lblOffset val="100"/>
        <c:noMultiLvlLbl val="0"/>
      </c:catAx>
      <c:valAx>
        <c:axId val="38261484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8260818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CULTURAL</a:t>
            </a:r>
            <a:r>
              <a:rPr lang="en-GB" sz="1200" u="sng" baseline="0">
                <a:latin typeface="Arial" pitchFamily="34" charset="0"/>
                <a:cs typeface="Arial" pitchFamily="34" charset="0"/>
              </a:rPr>
              <a:t> SERVICES</a:t>
            </a:r>
            <a:endParaRPr lang="en-GB" sz="11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'6. CHARTS BY PORTFOLIO'!$AY$23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EC1-42D6-A9C5-700482F9C12B}"/>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EC1-42D6-A9C5-700482F9C12B}"/>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PORTFOLIO'!$AZ$22:$BC$22</c:f>
              <c:strCache>
                <c:ptCount val="4"/>
                <c:pt idx="0">
                  <c:v>Q1</c:v>
                </c:pt>
                <c:pt idx="1">
                  <c:v>Q2</c:v>
                </c:pt>
                <c:pt idx="2">
                  <c:v>Q3</c:v>
                </c:pt>
                <c:pt idx="3">
                  <c:v>Q4</c:v>
                </c:pt>
              </c:strCache>
            </c:strRef>
          </c:cat>
          <c:val>
            <c:numRef>
              <c:f>'6. CHARTS BY PORTFOLIO'!$AZ$23:$BC$23</c:f>
              <c:numCache>
                <c:formatCode>0.00%</c:formatCode>
                <c:ptCount val="4"/>
                <c:pt idx="0">
                  <c:v>1</c:v>
                </c:pt>
                <c:pt idx="1">
                  <c:v>1</c:v>
                </c:pt>
                <c:pt idx="2">
                  <c:v>1</c:v>
                </c:pt>
                <c:pt idx="3">
                  <c:v>0</c:v>
                </c:pt>
              </c:numCache>
            </c:numRef>
          </c:val>
          <c:smooth val="0"/>
          <c:extLst xmlns:c16r2="http://schemas.microsoft.com/office/drawing/2015/06/chart">
            <c:ext xmlns:c16="http://schemas.microsoft.com/office/drawing/2014/chart" uri="{C3380CC4-5D6E-409C-BE32-E72D297353CC}">
              <c16:uniqueId val="{00000002-4EC1-42D6-A9C5-700482F9C12B}"/>
            </c:ext>
          </c:extLst>
        </c:ser>
        <c:ser>
          <c:idx val="1"/>
          <c:order val="1"/>
          <c:tx>
            <c:strRef>
              <c:f>'6. CHARTS BY PORTFOLIO'!$AY$24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EC1-42D6-A9C5-700482F9C12B}"/>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EC1-42D6-A9C5-700482F9C12B}"/>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PORTFOLIO'!$AZ$22:$BC$22</c:f>
              <c:strCache>
                <c:ptCount val="4"/>
                <c:pt idx="0">
                  <c:v>Q1</c:v>
                </c:pt>
                <c:pt idx="1">
                  <c:v>Q2</c:v>
                </c:pt>
                <c:pt idx="2">
                  <c:v>Q3</c:v>
                </c:pt>
                <c:pt idx="3">
                  <c:v>Q4</c:v>
                </c:pt>
              </c:strCache>
            </c:strRef>
          </c:cat>
          <c:val>
            <c:numRef>
              <c:f>'6. CHARTS BY PORTFOLIO'!$AZ$24:$BC$24</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5-4EC1-42D6-A9C5-700482F9C12B}"/>
            </c:ext>
          </c:extLst>
        </c:ser>
        <c:ser>
          <c:idx val="2"/>
          <c:order val="2"/>
          <c:tx>
            <c:strRef>
              <c:f>'6. CHARTS BY PORTFOLIO'!$AY$25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4EC1-42D6-A9C5-700482F9C12B}"/>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4EC1-42D6-A9C5-700482F9C12B}"/>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PORTFOLIO'!$AZ$22:$BC$22</c:f>
              <c:strCache>
                <c:ptCount val="4"/>
                <c:pt idx="0">
                  <c:v>Q1</c:v>
                </c:pt>
                <c:pt idx="1">
                  <c:v>Q2</c:v>
                </c:pt>
                <c:pt idx="2">
                  <c:v>Q3</c:v>
                </c:pt>
                <c:pt idx="3">
                  <c:v>Q4</c:v>
                </c:pt>
              </c:strCache>
            </c:strRef>
          </c:cat>
          <c:val>
            <c:numRef>
              <c:f>'6. CHARTS BY PORTFOLIO'!$AZ$25:$BC$25</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8-4EC1-42D6-A9C5-700482F9C12B}"/>
            </c:ext>
          </c:extLst>
        </c:ser>
        <c:dLbls>
          <c:showLegendKey val="0"/>
          <c:showVal val="1"/>
          <c:showCatName val="0"/>
          <c:showSerName val="0"/>
          <c:showPercent val="0"/>
          <c:showBubbleSize val="0"/>
        </c:dLbls>
        <c:smooth val="0"/>
        <c:axId val="382607792"/>
        <c:axId val="382610536"/>
      </c:lineChart>
      <c:catAx>
        <c:axId val="382607792"/>
        <c:scaling>
          <c:orientation val="minMax"/>
        </c:scaling>
        <c:delete val="0"/>
        <c:axPos val="b"/>
        <c:numFmt formatCode="General" sourceLinked="0"/>
        <c:majorTickMark val="out"/>
        <c:minorTickMark val="none"/>
        <c:tickLblPos val="nextTo"/>
        <c:txPr>
          <a:bodyPr/>
          <a:lstStyle/>
          <a:p>
            <a:pPr>
              <a:defRPr lang="en-US"/>
            </a:pPr>
            <a:endParaRPr lang="en-US"/>
          </a:p>
        </c:txPr>
        <c:crossAx val="382610536"/>
        <c:crosses val="autoZero"/>
        <c:auto val="1"/>
        <c:lblAlgn val="ctr"/>
        <c:lblOffset val="100"/>
        <c:noMultiLvlLbl val="0"/>
      </c:catAx>
      <c:valAx>
        <c:axId val="38261053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8260779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ENTERPRISE</a:t>
            </a: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'6. CHARTS BY PORTFOLIO'!$AY$39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215-4B0B-B47F-FB16DB6996D9}"/>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215-4B0B-B47F-FB16DB6996D9}"/>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PORTFOLIO'!$AZ$38:$BC$38</c:f>
              <c:strCache>
                <c:ptCount val="4"/>
                <c:pt idx="0">
                  <c:v>Q1</c:v>
                </c:pt>
                <c:pt idx="1">
                  <c:v>Q2</c:v>
                </c:pt>
                <c:pt idx="2">
                  <c:v>Q3</c:v>
                </c:pt>
                <c:pt idx="3">
                  <c:v>Q4</c:v>
                </c:pt>
              </c:strCache>
            </c:strRef>
          </c:cat>
          <c:val>
            <c:numRef>
              <c:f>'6. CHARTS BY PORTFOLIO'!$AZ$39:$BC$39</c:f>
              <c:numCache>
                <c:formatCode>0.00%</c:formatCode>
                <c:ptCount val="4"/>
                <c:pt idx="0">
                  <c:v>1</c:v>
                </c:pt>
                <c:pt idx="1">
                  <c:v>1</c:v>
                </c:pt>
                <c:pt idx="2">
                  <c:v>1</c:v>
                </c:pt>
                <c:pt idx="3">
                  <c:v>0</c:v>
                </c:pt>
              </c:numCache>
            </c:numRef>
          </c:val>
          <c:smooth val="0"/>
          <c:extLst xmlns:c16r2="http://schemas.microsoft.com/office/drawing/2015/06/chart">
            <c:ext xmlns:c16="http://schemas.microsoft.com/office/drawing/2014/chart" uri="{C3380CC4-5D6E-409C-BE32-E72D297353CC}">
              <c16:uniqueId val="{00000002-E215-4B0B-B47F-FB16DB6996D9}"/>
            </c:ext>
          </c:extLst>
        </c:ser>
        <c:ser>
          <c:idx val="1"/>
          <c:order val="1"/>
          <c:tx>
            <c:strRef>
              <c:f>'6. CHARTS BY PORTFOLIO'!$AY$40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215-4B0B-B47F-FB16DB6996D9}"/>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215-4B0B-B47F-FB16DB6996D9}"/>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PORTFOLIO'!$AZ$38:$BC$38</c:f>
              <c:strCache>
                <c:ptCount val="4"/>
                <c:pt idx="0">
                  <c:v>Q1</c:v>
                </c:pt>
                <c:pt idx="1">
                  <c:v>Q2</c:v>
                </c:pt>
                <c:pt idx="2">
                  <c:v>Q3</c:v>
                </c:pt>
                <c:pt idx="3">
                  <c:v>Q4</c:v>
                </c:pt>
              </c:strCache>
            </c:strRef>
          </c:cat>
          <c:val>
            <c:numRef>
              <c:f>'6. CHARTS BY PORTFOLIO'!$AZ$40:$BC$40</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5-E215-4B0B-B47F-FB16DB6996D9}"/>
            </c:ext>
          </c:extLst>
        </c:ser>
        <c:ser>
          <c:idx val="2"/>
          <c:order val="2"/>
          <c:tx>
            <c:strRef>
              <c:f>'6. CHARTS BY PORTFOLIO'!$AY$41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E215-4B0B-B47F-FB16DB6996D9}"/>
                </c:ext>
                <c:ext xmlns:c15="http://schemas.microsoft.com/office/drawing/2012/chart" uri="{CE6537A1-D6FC-4f65-9D91-7224C49458BB}"/>
              </c:extLst>
            </c:dLbl>
            <c:dLbl>
              <c:idx val="1"/>
              <c:layout>
                <c:manualLayout>
                  <c:x val="-5.4644550522530692E-2"/>
                  <c:y val="-4.42967884828349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E215-4B0B-B47F-FB16DB6996D9}"/>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E215-4B0B-B47F-FB16DB6996D9}"/>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E215-4B0B-B47F-FB16DB6996D9}"/>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PORTFOLIO'!$AZ$38:$BC$38</c:f>
              <c:strCache>
                <c:ptCount val="4"/>
                <c:pt idx="0">
                  <c:v>Q1</c:v>
                </c:pt>
                <c:pt idx="1">
                  <c:v>Q2</c:v>
                </c:pt>
                <c:pt idx="2">
                  <c:v>Q3</c:v>
                </c:pt>
                <c:pt idx="3">
                  <c:v>Q4</c:v>
                </c:pt>
              </c:strCache>
            </c:strRef>
          </c:cat>
          <c:val>
            <c:numRef>
              <c:f>'6. CHARTS BY PORTFOLIO'!$AZ$41:$BC$41</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A-E215-4B0B-B47F-FB16DB6996D9}"/>
            </c:ext>
          </c:extLst>
        </c:ser>
        <c:dLbls>
          <c:showLegendKey val="0"/>
          <c:showVal val="1"/>
          <c:showCatName val="0"/>
          <c:showSerName val="0"/>
          <c:showPercent val="0"/>
          <c:showBubbleSize val="0"/>
        </c:dLbls>
        <c:smooth val="0"/>
        <c:axId val="382608576"/>
        <c:axId val="382608968"/>
      </c:lineChart>
      <c:catAx>
        <c:axId val="382608576"/>
        <c:scaling>
          <c:orientation val="minMax"/>
        </c:scaling>
        <c:delete val="0"/>
        <c:axPos val="b"/>
        <c:numFmt formatCode="General" sourceLinked="0"/>
        <c:majorTickMark val="out"/>
        <c:minorTickMark val="none"/>
        <c:tickLblPos val="nextTo"/>
        <c:txPr>
          <a:bodyPr/>
          <a:lstStyle/>
          <a:p>
            <a:pPr>
              <a:defRPr lang="en-US"/>
            </a:pPr>
            <a:endParaRPr lang="en-US"/>
          </a:p>
        </c:txPr>
        <c:crossAx val="382608968"/>
        <c:crosses val="autoZero"/>
        <c:auto val="1"/>
        <c:lblAlgn val="ctr"/>
        <c:lblOffset val="100"/>
        <c:noMultiLvlLbl val="0"/>
      </c:catAx>
      <c:valAx>
        <c:axId val="38260896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8260857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ENVIRONMENT</a:t>
            </a: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'6. CHARTS BY PORTFOLIO'!$AY$55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22E-4855-963A-4506A3413D88}"/>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22E-4855-963A-4506A3413D88}"/>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PORTFOLIO'!$AZ$54:$BC$54</c:f>
              <c:strCache>
                <c:ptCount val="4"/>
                <c:pt idx="0">
                  <c:v>Q1</c:v>
                </c:pt>
                <c:pt idx="1">
                  <c:v>Q2</c:v>
                </c:pt>
                <c:pt idx="2">
                  <c:v>Q3</c:v>
                </c:pt>
                <c:pt idx="3">
                  <c:v>Q4</c:v>
                </c:pt>
              </c:strCache>
            </c:strRef>
          </c:cat>
          <c:val>
            <c:numRef>
              <c:f>'6. CHARTS BY PORTFOLIO'!$AZ$55:$BC$55</c:f>
              <c:numCache>
                <c:formatCode>0.00%</c:formatCode>
                <c:ptCount val="4"/>
                <c:pt idx="0">
                  <c:v>1</c:v>
                </c:pt>
                <c:pt idx="1">
                  <c:v>1</c:v>
                </c:pt>
                <c:pt idx="2">
                  <c:v>0.9285714285714286</c:v>
                </c:pt>
                <c:pt idx="3">
                  <c:v>0</c:v>
                </c:pt>
              </c:numCache>
            </c:numRef>
          </c:val>
          <c:smooth val="0"/>
          <c:extLst xmlns:c16r2="http://schemas.microsoft.com/office/drawing/2015/06/chart">
            <c:ext xmlns:c16="http://schemas.microsoft.com/office/drawing/2014/chart" uri="{C3380CC4-5D6E-409C-BE32-E72D297353CC}">
              <c16:uniqueId val="{00000002-422E-4855-963A-4506A3413D88}"/>
            </c:ext>
          </c:extLst>
        </c:ser>
        <c:ser>
          <c:idx val="1"/>
          <c:order val="1"/>
          <c:tx>
            <c:strRef>
              <c:f>'6. CHARTS BY PORTFOLIO'!$AY$56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22E-4855-963A-4506A3413D88}"/>
                </c:ext>
                <c:ext xmlns:c15="http://schemas.microsoft.com/office/drawing/2012/chart" uri="{CE6537A1-D6FC-4f65-9D91-7224C49458BB}"/>
              </c:extLst>
            </c:dLbl>
            <c:dLbl>
              <c:idx val="1"/>
              <c:layout>
                <c:manualLayout>
                  <c:x val="-5.4644550522530692E-2"/>
                  <c:y val="-4.905239687848403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22E-4855-963A-4506A3413D88}"/>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422E-4855-963A-4506A3413D88}"/>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422E-4855-963A-4506A3413D88}"/>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PORTFOLIO'!$AZ$54:$BC$54</c:f>
              <c:strCache>
                <c:ptCount val="4"/>
                <c:pt idx="0">
                  <c:v>Q1</c:v>
                </c:pt>
                <c:pt idx="1">
                  <c:v>Q2</c:v>
                </c:pt>
                <c:pt idx="2">
                  <c:v>Q3</c:v>
                </c:pt>
                <c:pt idx="3">
                  <c:v>Q4</c:v>
                </c:pt>
              </c:strCache>
            </c:strRef>
          </c:cat>
          <c:val>
            <c:numRef>
              <c:f>'6. CHARTS BY PORTFOLIO'!$AZ$56:$BC$56</c:f>
              <c:numCache>
                <c:formatCode>0.00%</c:formatCode>
                <c:ptCount val="4"/>
                <c:pt idx="0">
                  <c:v>0</c:v>
                </c:pt>
                <c:pt idx="1">
                  <c:v>0</c:v>
                </c:pt>
                <c:pt idx="2">
                  <c:v>7.1428571428571425E-2</c:v>
                </c:pt>
                <c:pt idx="3">
                  <c:v>0</c:v>
                </c:pt>
              </c:numCache>
            </c:numRef>
          </c:val>
          <c:smooth val="0"/>
          <c:extLst xmlns:c16r2="http://schemas.microsoft.com/office/drawing/2015/06/chart">
            <c:ext xmlns:c16="http://schemas.microsoft.com/office/drawing/2014/chart" uri="{C3380CC4-5D6E-409C-BE32-E72D297353CC}">
              <c16:uniqueId val="{00000007-422E-4855-963A-4506A3413D88}"/>
            </c:ext>
          </c:extLst>
        </c:ser>
        <c:ser>
          <c:idx val="2"/>
          <c:order val="2"/>
          <c:tx>
            <c:strRef>
              <c:f>'6. CHARTS BY PORTFOLIO'!$AY$57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422E-4855-963A-4506A3413D88}"/>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422E-4855-963A-4506A3413D88}"/>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422E-4855-963A-4506A3413D88}"/>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PORTFOLIO'!$AZ$54:$BC$54</c:f>
              <c:strCache>
                <c:ptCount val="4"/>
                <c:pt idx="0">
                  <c:v>Q1</c:v>
                </c:pt>
                <c:pt idx="1">
                  <c:v>Q2</c:v>
                </c:pt>
                <c:pt idx="2">
                  <c:v>Q3</c:v>
                </c:pt>
                <c:pt idx="3">
                  <c:v>Q4</c:v>
                </c:pt>
              </c:strCache>
            </c:strRef>
          </c:cat>
          <c:val>
            <c:numRef>
              <c:f>'6. CHARTS BY PORTFOLIO'!$AZ$57:$BC$57</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B-422E-4855-963A-4506A3413D88}"/>
            </c:ext>
          </c:extLst>
        </c:ser>
        <c:dLbls>
          <c:showLegendKey val="0"/>
          <c:showVal val="1"/>
          <c:showCatName val="0"/>
          <c:showSerName val="0"/>
          <c:showPercent val="0"/>
          <c:showBubbleSize val="0"/>
        </c:dLbls>
        <c:smooth val="0"/>
        <c:axId val="382609360"/>
        <c:axId val="382609752"/>
      </c:lineChart>
      <c:catAx>
        <c:axId val="382609360"/>
        <c:scaling>
          <c:orientation val="minMax"/>
        </c:scaling>
        <c:delete val="0"/>
        <c:axPos val="b"/>
        <c:numFmt formatCode="General" sourceLinked="0"/>
        <c:majorTickMark val="out"/>
        <c:minorTickMark val="none"/>
        <c:tickLblPos val="nextTo"/>
        <c:txPr>
          <a:bodyPr/>
          <a:lstStyle/>
          <a:p>
            <a:pPr>
              <a:defRPr lang="en-US"/>
            </a:pPr>
            <a:endParaRPr lang="en-US"/>
          </a:p>
        </c:txPr>
        <c:crossAx val="382609752"/>
        <c:crosses val="autoZero"/>
        <c:auto val="1"/>
        <c:lblAlgn val="ctr"/>
        <c:lblOffset val="100"/>
        <c:noMultiLvlLbl val="0"/>
      </c:catAx>
      <c:valAx>
        <c:axId val="382609752"/>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8260936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GB" sz="1800" b="1" i="0" u="none" baseline="0"/>
              <a:t>LEADER OF THE COUNCIL</a:t>
            </a:r>
            <a:endParaRPr lang="en-GB" u="none"/>
          </a:p>
          <a:p>
            <a:pPr>
              <a:defRPr lang="en-US" u="none"/>
            </a:pPr>
            <a:r>
              <a:rPr lang="en-US" u="none"/>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55F9-476C-B40B-AE40098D7A18}"/>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55F9-476C-B40B-AE40098D7A18}"/>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55F9-476C-B40B-AE40098D7A18}"/>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PORTFOLIO'!$AY$7:$AY$9</c:f>
              <c:strCache>
                <c:ptCount val="3"/>
                <c:pt idx="0">
                  <c:v>Green</c:v>
                </c:pt>
                <c:pt idx="1">
                  <c:v>Amber</c:v>
                </c:pt>
                <c:pt idx="2">
                  <c:v>Red</c:v>
                </c:pt>
              </c:strCache>
            </c:strRef>
          </c:cat>
          <c:val>
            <c:numRef>
              <c:f>'6. CHARTS BY PORTFOLIO'!$AZ$7:$AZ$9</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55F9-476C-B40B-AE40098D7A18}"/>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a:t>CULTURAL SERVICES</a:t>
            </a:r>
          </a:p>
          <a:p>
            <a:pPr algn="ctr">
              <a:defRPr lang="en-US"/>
            </a:pPr>
            <a:r>
              <a:rPr lang="en-US"/>
              <a:t>- Quarter 1</a:t>
            </a:r>
          </a:p>
        </c:rich>
      </c:tx>
      <c:layout>
        <c:manualLayout>
          <c:xMode val="edge"/>
          <c:yMode val="edge"/>
          <c:x val="0.27281229494763565"/>
          <c:y val="2.7777777777793677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3063-4106-8B17-6684CFD4D161}"/>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3063-4106-8B17-6684CFD4D161}"/>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3063-4106-8B17-6684CFD4D161}"/>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PORTFOLIO'!$AY$23:$AY$25</c:f>
              <c:strCache>
                <c:ptCount val="3"/>
                <c:pt idx="0">
                  <c:v>Green</c:v>
                </c:pt>
                <c:pt idx="1">
                  <c:v>Amber</c:v>
                </c:pt>
                <c:pt idx="2">
                  <c:v>Red</c:v>
                </c:pt>
              </c:strCache>
            </c:strRef>
          </c:cat>
          <c:val>
            <c:numRef>
              <c:f>'6. CHARTS BY PORTFOLIO'!$AZ$23:$AZ$25</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3063-4106-8B17-6684CFD4D16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ENTERPRISE </a:t>
            </a:r>
          </a:p>
          <a:p>
            <a:pPr>
              <a:defRPr lang="en-US"/>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9E2F-48C6-9FCA-4594776C5E51}"/>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9E2F-48C6-9FCA-4594776C5E51}"/>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9E2F-48C6-9FCA-4594776C5E51}"/>
              </c:ext>
            </c:extLst>
          </c:dPt>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'6. CHARTS BY PORTFOLIO'!$AY$39:$AY$41</c:f>
              <c:strCache>
                <c:ptCount val="3"/>
                <c:pt idx="0">
                  <c:v>Green</c:v>
                </c:pt>
                <c:pt idx="1">
                  <c:v>Amber</c:v>
                </c:pt>
                <c:pt idx="2">
                  <c:v>Red</c:v>
                </c:pt>
              </c:strCache>
            </c:strRef>
          </c:cat>
          <c:val>
            <c:numRef>
              <c:f>'6. CHARTS BY PORTFOLIO'!$AZ$39:$AZ$41</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9E2F-48C6-9FCA-4594776C5E51}"/>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8E56-4E55-85E3-CA2CD9C61B45}"/>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8E56-4E55-85E3-CA2CD9C61B45}"/>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8E56-4E55-85E3-CA2CD9C61B45}"/>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PORTFOLIO'!$AY$55:$AY$57</c:f>
              <c:strCache>
                <c:ptCount val="3"/>
                <c:pt idx="0">
                  <c:v>Green</c:v>
                </c:pt>
                <c:pt idx="1">
                  <c:v>Amber</c:v>
                </c:pt>
                <c:pt idx="2">
                  <c:v>Red</c:v>
                </c:pt>
              </c:strCache>
            </c:strRef>
          </c:cat>
          <c:val>
            <c:numRef>
              <c:f>'6. CHARTS BY PORTFOLIO'!$AZ$55:$AZ$57</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8E56-4E55-85E3-CA2CD9C61B45}"/>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none" baseline="0"/>
              <a:t>LEADER OF THE COUNCIL</a:t>
            </a:r>
            <a:endParaRPr lang="en-GB" u="none"/>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4F11-46D7-AF65-C0358BA75293}"/>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4F11-46D7-AF65-C0358BA75293}"/>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4F11-46D7-AF65-C0358BA75293}"/>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PORTFOLIO'!$AY$7:$AY$9</c:f>
              <c:strCache>
                <c:ptCount val="3"/>
                <c:pt idx="0">
                  <c:v>Green</c:v>
                </c:pt>
                <c:pt idx="1">
                  <c:v>Amber</c:v>
                </c:pt>
                <c:pt idx="2">
                  <c:v>Red</c:v>
                </c:pt>
              </c:strCache>
            </c:strRef>
          </c:cat>
          <c:val>
            <c:numRef>
              <c:f>'6. CHARTS BY PORTFOLIO'!$BA$7:$BA$9</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4F11-46D7-AF65-C0358BA7529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PROMOTING LOCAL ECONOMIC GROWTH</a:t>
            </a:r>
          </a:p>
          <a:p>
            <a:pPr>
              <a:defRPr lang="en-US"/>
            </a:pPr>
            <a:r>
              <a:rPr lang="en-GB" sz="1100">
                <a:latin typeface="Arial" pitchFamily="34" charset="0"/>
                <a:cs typeface="Arial" pitchFamily="34" charset="0"/>
              </a:rPr>
              <a:t>% of indicators for this priority only that are Red, Amber or Green</a:t>
            </a:r>
          </a:p>
        </c:rich>
      </c:tx>
      <c:overlay val="0"/>
    </c:title>
    <c:autoTitleDeleted val="0"/>
    <c:plotArea>
      <c:layout/>
      <c:lineChart>
        <c:grouping val="standard"/>
        <c:varyColors val="0"/>
        <c:ser>
          <c:idx val="0"/>
          <c:order val="0"/>
          <c:tx>
            <c:strRef>
              <c:f>'4. CHARTS BY PRIORITY'!$AY$39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B5E-483E-BF55-1F0165B4F8D4}"/>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B5E-483E-BF55-1F0165B4F8D4}"/>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'4. CHARTS BY PRIORITY'!$AZ$39:$BC$39</c:f>
            </c:numRef>
          </c:val>
          <c:smooth val="0"/>
          <c:extLst xmlns:c16r2="http://schemas.microsoft.com/office/drawing/2015/06/chart">
            <c:ext xmlns:c16="http://schemas.microsoft.com/office/drawing/2014/chart" uri="{C3380CC4-5D6E-409C-BE32-E72D297353CC}">
              <c16:uniqueId val="{00000002-CB5E-483E-BF55-1F0165B4F8D4}"/>
            </c:ext>
            <c:ext xmlns:c15="http://schemas.microsoft.com/office/drawing/2012/chart" uri="{02D57815-91ED-43cb-92C2-25804820EDAC}">
              <c15:filteredCategoryTitle>
                <c15:cat>
                  <c:multiLvlStrRef>
                    <c:extLst>
                      <c:ext uri="{02D57815-91ED-43cb-92C2-25804820EDAC}">
                        <c15:formulaRef>
                          <c15:sqref>'4. CHARTS BY PRIORITY'!$AZ$38:$BC$38</c15:sqref>
                        </c15:formulaRef>
                      </c:ext>
                    </c:extLst>
                  </c:multiLvlStrRef>
                </c15:cat>
              </c15:filteredCategoryTitle>
            </c:ext>
          </c:extLst>
        </c:ser>
        <c:ser>
          <c:idx val="1"/>
          <c:order val="1"/>
          <c:tx>
            <c:strRef>
              <c:f>'4. CHARTS BY PRIORITY'!$AY$40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B5E-483E-BF55-1F0165B4F8D4}"/>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B5E-483E-BF55-1F0165B4F8D4}"/>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'4. CHARTS BY PRIORITY'!$AZ$40:$BC$40</c:f>
            </c:numRef>
          </c:val>
          <c:smooth val="0"/>
          <c:extLst xmlns:c16r2="http://schemas.microsoft.com/office/drawing/2015/06/chart">
            <c:ext xmlns:c16="http://schemas.microsoft.com/office/drawing/2014/chart" uri="{C3380CC4-5D6E-409C-BE32-E72D297353CC}">
              <c16:uniqueId val="{00000005-CB5E-483E-BF55-1F0165B4F8D4}"/>
            </c:ext>
            <c:ext xmlns:c15="http://schemas.microsoft.com/office/drawing/2012/chart" uri="{02D57815-91ED-43cb-92C2-25804820EDAC}">
              <c15:filteredCategoryTitle>
                <c15:cat>
                  <c:multiLvlStrRef>
                    <c:extLst>
                      <c:ext uri="{02D57815-91ED-43cb-92C2-25804820EDAC}">
                        <c15:formulaRef>
                          <c15:sqref>'4. CHARTS BY PRIORITY'!$AZ$38:$BC$38</c15:sqref>
                        </c15:formulaRef>
                      </c:ext>
                    </c:extLst>
                  </c:multiLvlStrRef>
                </c15:cat>
              </c15:filteredCategoryTitle>
            </c:ext>
          </c:extLst>
        </c:ser>
        <c:ser>
          <c:idx val="2"/>
          <c:order val="2"/>
          <c:tx>
            <c:strRef>
              <c:f>'4. CHARTS BY PRIORITY'!$AY$41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B5E-483E-BF55-1F0165B4F8D4}"/>
                </c:ext>
                <c:ext xmlns:c15="http://schemas.microsoft.com/office/drawing/2012/chart" uri="{CE6537A1-D6FC-4f65-9D91-7224C49458BB}"/>
              </c:extLst>
            </c:dLbl>
            <c:dLbl>
              <c:idx val="1"/>
              <c:layout>
                <c:manualLayout>
                  <c:x val="-5.4644550522530692E-2"/>
                  <c:y val="-4.42967884828349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B5E-483E-BF55-1F0165B4F8D4}"/>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B5E-483E-BF55-1F0165B4F8D4}"/>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B5E-483E-BF55-1F0165B4F8D4}"/>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'4. CHARTS BY PRIORITY'!$AZ$41:$BC$41</c:f>
            </c:numRef>
          </c:val>
          <c:smooth val="0"/>
          <c:extLst xmlns:c16r2="http://schemas.microsoft.com/office/drawing/2015/06/chart">
            <c:ext xmlns:c16="http://schemas.microsoft.com/office/drawing/2014/chart" uri="{C3380CC4-5D6E-409C-BE32-E72D297353CC}">
              <c16:uniqueId val="{0000000A-CB5E-483E-BF55-1F0165B4F8D4}"/>
            </c:ext>
            <c:ext xmlns:c15="http://schemas.microsoft.com/office/drawing/2012/chart" uri="{02D57815-91ED-43cb-92C2-25804820EDAC}">
              <c15:filteredCategoryTitle>
                <c15:cat>
                  <c:multiLvlStrRef>
                    <c:extLst>
                      <c:ext uri="{02D57815-91ED-43cb-92C2-25804820EDAC}">
                        <c15:formulaRef>
                          <c15:sqref>'4. CHARTS BY PRIORITY'!$AZ$38:$BC$38</c15:sqref>
                        </c15:formulaRef>
                      </c:ext>
                    </c:extLst>
                  </c:multiLvlStrRef>
                </c15:cat>
              </c15:filteredCategoryTitle>
            </c:ext>
          </c:extLst>
        </c:ser>
        <c:dLbls>
          <c:showLegendKey val="0"/>
          <c:showVal val="1"/>
          <c:showCatName val="0"/>
          <c:showSerName val="0"/>
          <c:showPercent val="0"/>
          <c:showBubbleSize val="0"/>
        </c:dLbls>
        <c:marker val="1"/>
        <c:smooth val="0"/>
        <c:axId val="381866872"/>
        <c:axId val="381871184"/>
      </c:lineChart>
      <c:catAx>
        <c:axId val="381866872"/>
        <c:scaling>
          <c:orientation val="minMax"/>
        </c:scaling>
        <c:delete val="0"/>
        <c:axPos val="b"/>
        <c:numFmt formatCode="General" sourceLinked="0"/>
        <c:majorTickMark val="out"/>
        <c:minorTickMark val="none"/>
        <c:tickLblPos val="nextTo"/>
        <c:txPr>
          <a:bodyPr/>
          <a:lstStyle/>
          <a:p>
            <a:pPr>
              <a:defRPr lang="en-US"/>
            </a:pPr>
            <a:endParaRPr lang="en-US"/>
          </a:p>
        </c:txPr>
        <c:crossAx val="381871184"/>
        <c:crosses val="autoZero"/>
        <c:auto val="1"/>
        <c:lblAlgn val="ctr"/>
        <c:lblOffset val="100"/>
        <c:noMultiLvlLbl val="0"/>
      </c:catAx>
      <c:valAx>
        <c:axId val="381871184"/>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8186687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baseline="0"/>
              <a:t>CULTURAL SERVICES</a:t>
            </a:r>
            <a:endParaRPr lang="en-GB"/>
          </a:p>
          <a:p>
            <a:pPr>
              <a:defRPr lang="en-US"/>
            </a:pPr>
            <a:r>
              <a:rPr lang="en-US" sz="1800" b="1" i="0" baseline="0"/>
              <a:t>-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9981-4ECA-8145-38C665E1F7E9}"/>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9981-4ECA-8145-38C665E1F7E9}"/>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9981-4ECA-8145-38C665E1F7E9}"/>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PORTFOLIO'!$AY$23:$AY$25</c:f>
              <c:strCache>
                <c:ptCount val="3"/>
                <c:pt idx="0">
                  <c:v>Green</c:v>
                </c:pt>
                <c:pt idx="1">
                  <c:v>Amber</c:v>
                </c:pt>
                <c:pt idx="2">
                  <c:v>Red</c:v>
                </c:pt>
              </c:strCache>
            </c:strRef>
          </c:cat>
          <c:val>
            <c:numRef>
              <c:f>'6. CHARTS BY PORTFOLIO'!$BA$23:$BA$25</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9981-4ECA-8145-38C665E1F7E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t>ENTERPRISE </a:t>
            </a:r>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6647-440E-AD13-1330B422D0EF}"/>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6647-440E-AD13-1330B422D0EF}"/>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6647-440E-AD13-1330B422D0EF}"/>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PORTFOLIO'!$AY$39:$AY$41</c:f>
              <c:strCache>
                <c:ptCount val="3"/>
                <c:pt idx="0">
                  <c:v>Green</c:v>
                </c:pt>
                <c:pt idx="1">
                  <c:v>Amber</c:v>
                </c:pt>
                <c:pt idx="2">
                  <c:v>Red</c:v>
                </c:pt>
              </c:strCache>
            </c:strRef>
          </c:cat>
          <c:val>
            <c:numRef>
              <c:f>'6. CHARTS BY PORTFOLIO'!$BA$39:$BA$41</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6647-440E-AD13-1330B422D0E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1F5D-4394-8264-45F30C4E27AF}"/>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1F5D-4394-8264-45F30C4E27AF}"/>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1F5D-4394-8264-45F30C4E27AF}"/>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PORTFOLIO'!$AY$55:$AY$57</c:f>
              <c:strCache>
                <c:ptCount val="3"/>
                <c:pt idx="0">
                  <c:v>Green</c:v>
                </c:pt>
                <c:pt idx="1">
                  <c:v>Amber</c:v>
                </c:pt>
                <c:pt idx="2">
                  <c:v>Red</c:v>
                </c:pt>
              </c:strCache>
            </c:strRef>
          </c:cat>
          <c:val>
            <c:numRef>
              <c:f>'6. CHARTS BY PORTFOLIO'!$BA$55:$BA$57</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1F5D-4394-8264-45F30C4E27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none" baseline="0"/>
              <a:t>LEADER OF THE COUNCIL</a:t>
            </a:r>
          </a:p>
          <a:p>
            <a:pPr>
              <a:defRPr lang="en-US"/>
            </a:pPr>
            <a:r>
              <a:rPr lang="en-US" sz="1800" b="1" i="0" baseline="0"/>
              <a:t>- Quarter 3</a:t>
            </a:r>
            <a:endParaRPr lang="en-GB"/>
          </a:p>
        </c:rich>
      </c:tx>
      <c:layout>
        <c:manualLayout>
          <c:xMode val="edge"/>
          <c:yMode val="edge"/>
          <c:x val="0.28165148742830121"/>
          <c:y val="4.000000000000002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B8E1-4776-BA6B-5DBE755A9E39}"/>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B8E1-4776-BA6B-5DBE755A9E39}"/>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B8E1-4776-BA6B-5DBE755A9E39}"/>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PORTFOLIO'!$AY$7:$AY$9</c:f>
              <c:strCache>
                <c:ptCount val="3"/>
                <c:pt idx="0">
                  <c:v>Green</c:v>
                </c:pt>
                <c:pt idx="1">
                  <c:v>Amber</c:v>
                </c:pt>
                <c:pt idx="2">
                  <c:v>Red</c:v>
                </c:pt>
              </c:strCache>
            </c:strRef>
          </c:cat>
          <c:val>
            <c:numRef>
              <c:f>'6. CHARTS BY PORTFOLIO'!$BB$7:$BB$9</c:f>
              <c:numCache>
                <c:formatCode>0.00%</c:formatCode>
                <c:ptCount val="3"/>
                <c:pt idx="0">
                  <c:v>0.96875</c:v>
                </c:pt>
                <c:pt idx="1">
                  <c:v>3.125E-2</c:v>
                </c:pt>
                <c:pt idx="2">
                  <c:v>0</c:v>
                </c:pt>
              </c:numCache>
            </c:numRef>
          </c:val>
          <c:extLst xmlns:c16r2="http://schemas.microsoft.com/office/drawing/2015/06/chart">
            <c:ext xmlns:c16="http://schemas.microsoft.com/office/drawing/2014/chart" uri="{C3380CC4-5D6E-409C-BE32-E72D297353CC}">
              <c16:uniqueId val="{00000003-B8E1-4776-BA6B-5DBE755A9E3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GB" sz="1800" b="1" i="0" u="none" baseline="0"/>
              <a:t>LEADER OF THE COUNCIL</a:t>
            </a:r>
          </a:p>
          <a:p>
            <a:pPr>
              <a:defRPr lang="en-US" u="none"/>
            </a:pPr>
            <a:r>
              <a:rPr lang="en-US" sz="1800" b="1" i="0" u="none" baseline="0"/>
              <a:t>- End of Year</a:t>
            </a:r>
            <a:endParaRPr lang="en-GB" u="none"/>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A044-4CDD-BEFC-B41AFA59B1A1}"/>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A044-4CDD-BEFC-B41AFA59B1A1}"/>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A044-4CDD-BEFC-B41AFA59B1A1}"/>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PORTFOLIO'!$AY$7:$AY$9</c:f>
              <c:strCache>
                <c:ptCount val="3"/>
                <c:pt idx="0">
                  <c:v>Green</c:v>
                </c:pt>
                <c:pt idx="1">
                  <c:v>Amber</c:v>
                </c:pt>
                <c:pt idx="2">
                  <c:v>Red</c:v>
                </c:pt>
              </c:strCache>
            </c:strRef>
          </c:cat>
          <c:val>
            <c:numRef>
              <c:f>'6. CHARTS BY PORTFOLIO'!$BC$7:$BC$9</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A044-4CDD-BEFC-B41AFA59B1A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a:t>CULTURAL SERVICES</a:t>
            </a:r>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E5AE-4256-9728-046E2A0AE754}"/>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E5AE-4256-9728-046E2A0AE754}"/>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E5AE-4256-9728-046E2A0AE754}"/>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PORTFOLIO'!$AY$23:$AY$25</c:f>
              <c:strCache>
                <c:ptCount val="3"/>
                <c:pt idx="0">
                  <c:v>Green</c:v>
                </c:pt>
                <c:pt idx="1">
                  <c:v>Amber</c:v>
                </c:pt>
                <c:pt idx="2">
                  <c:v>Red</c:v>
                </c:pt>
              </c:strCache>
            </c:strRef>
          </c:cat>
          <c:val>
            <c:numRef>
              <c:f>'6. CHARTS BY PORTFOLIO'!$BB$23:$BB$25</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E5AE-4256-9728-046E2A0AE754}"/>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baseline="0"/>
              <a:t>CULTURAL SERVICES</a:t>
            </a:r>
            <a:endParaRPr lang="en-GB"/>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34FB-4778-BD03-6B685FC94963}"/>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34FB-4778-BD03-6B685FC94963}"/>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34FB-4778-BD03-6B685FC94963}"/>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PORTFOLIO'!$AY$23:$AY$25</c:f>
              <c:strCache>
                <c:ptCount val="3"/>
                <c:pt idx="0">
                  <c:v>Green</c:v>
                </c:pt>
                <c:pt idx="1">
                  <c:v>Amber</c:v>
                </c:pt>
                <c:pt idx="2">
                  <c:v>Red</c:v>
                </c:pt>
              </c:strCache>
            </c:strRef>
          </c:cat>
          <c:val>
            <c:numRef>
              <c:f>'6. CHARTS BY PORTFOLIO'!$BC$23:$BC$25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34FB-4778-BD03-6B685FC9496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t>ENTERPRISE </a:t>
            </a:r>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CC3F-45AC-B5C0-67479774E656}"/>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CC3F-45AC-B5C0-67479774E656}"/>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CC3F-45AC-B5C0-67479774E656}"/>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PORTFOLIO'!$AY$39:$AY$41</c:f>
              <c:strCache>
                <c:ptCount val="3"/>
                <c:pt idx="0">
                  <c:v>Green</c:v>
                </c:pt>
                <c:pt idx="1">
                  <c:v>Amber</c:v>
                </c:pt>
                <c:pt idx="2">
                  <c:v>Red</c:v>
                </c:pt>
              </c:strCache>
            </c:strRef>
          </c:cat>
          <c:val>
            <c:numRef>
              <c:f>'6. CHARTS BY PORTFOLIO'!$BB$39:$BB$41</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CC3F-45AC-B5C0-67479774E656}"/>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u="none" strike="noStrike" baseline="0"/>
              <a:t>ENTERPRISE </a:t>
            </a:r>
          </a:p>
          <a:p>
            <a:pPr algn="ct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36D7-4279-A11D-FA8C082CD372}"/>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36D7-4279-A11D-FA8C082CD372}"/>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36D7-4279-A11D-FA8C082CD372}"/>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PORTFOLIO'!$AY$39:$AY$41</c:f>
              <c:strCache>
                <c:ptCount val="3"/>
                <c:pt idx="0">
                  <c:v>Green</c:v>
                </c:pt>
                <c:pt idx="1">
                  <c:v>Amber</c:v>
                </c:pt>
                <c:pt idx="2">
                  <c:v>Red</c:v>
                </c:pt>
              </c:strCache>
            </c:strRef>
          </c:cat>
          <c:val>
            <c:numRef>
              <c:f>'6. CHARTS BY PORTFOLIO'!$BC$39:$BC$41</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36D7-4279-A11D-FA8C082CD37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strike="noStrike" baseline="0"/>
              <a:t>  </a:t>
            </a: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9898-4B87-939D-D47B1872EA7B}"/>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9898-4B87-939D-D47B1872EA7B}"/>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9898-4B87-939D-D47B1872EA7B}"/>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PORTFOLIO'!$AY$55:$AY$57</c:f>
              <c:strCache>
                <c:ptCount val="3"/>
                <c:pt idx="0">
                  <c:v>Green</c:v>
                </c:pt>
                <c:pt idx="1">
                  <c:v>Amber</c:v>
                </c:pt>
                <c:pt idx="2">
                  <c:v>Red</c:v>
                </c:pt>
              </c:strCache>
            </c:strRef>
          </c:cat>
          <c:val>
            <c:numRef>
              <c:f>'6. CHARTS BY PORTFOLIO'!$BB$55:$BB$57</c:f>
              <c:numCache>
                <c:formatCode>0.00%</c:formatCode>
                <c:ptCount val="3"/>
                <c:pt idx="0">
                  <c:v>0.9285714285714286</c:v>
                </c:pt>
                <c:pt idx="1">
                  <c:v>7.1428571428571425E-2</c:v>
                </c:pt>
                <c:pt idx="2">
                  <c:v>0</c:v>
                </c:pt>
              </c:numCache>
            </c:numRef>
          </c:val>
          <c:extLst xmlns:c16r2="http://schemas.microsoft.com/office/drawing/2015/06/chart">
            <c:ext xmlns:c16="http://schemas.microsoft.com/office/drawing/2014/chart" uri="{C3380CC4-5D6E-409C-BE32-E72D297353CC}">
              <c16:uniqueId val="{00000003-9898-4B87-939D-D47B1872EA7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PROTECTING AND STRENGTHENING COMMUNITIES</a:t>
            </a: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'4. CHARTS BY PRIORITY'!$AY$55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FD6-404C-92E4-D5A1C46C6F90}"/>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D6-404C-92E4-D5A1C46C6F90}"/>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'4. CHARTS BY PRIORITY'!$AZ$55:$BC$55</c:f>
            </c:numRef>
          </c:val>
          <c:smooth val="0"/>
          <c:extLst xmlns:c16r2="http://schemas.microsoft.com/office/drawing/2015/06/chart">
            <c:ext xmlns:c16="http://schemas.microsoft.com/office/drawing/2014/chart" uri="{C3380CC4-5D6E-409C-BE32-E72D297353CC}">
              <c16:uniqueId val="{00000002-1FD6-404C-92E4-D5A1C46C6F90}"/>
            </c:ext>
            <c:ext xmlns:c15="http://schemas.microsoft.com/office/drawing/2012/chart" uri="{02D57815-91ED-43cb-92C2-25804820EDAC}">
              <c15:filteredCategoryTitle>
                <c15:cat>
                  <c:multiLvlStrRef>
                    <c:extLst>
                      <c:ext uri="{02D57815-91ED-43cb-92C2-25804820EDAC}">
                        <c15:formulaRef>
                          <c15:sqref>'4. CHARTS BY PRIORITY'!$AZ$54:$BC$54</c15:sqref>
                        </c15:formulaRef>
                      </c:ext>
                    </c:extLst>
                  </c:multiLvlStrRef>
                </c15:cat>
              </c15:filteredCategoryTitle>
            </c:ext>
          </c:extLst>
        </c:ser>
        <c:ser>
          <c:idx val="1"/>
          <c:order val="1"/>
          <c:tx>
            <c:strRef>
              <c:f>'4. CHARTS BY PRIORITY'!$AY$56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FD6-404C-92E4-D5A1C46C6F90}"/>
                </c:ext>
                <c:ext xmlns:c15="http://schemas.microsoft.com/office/drawing/2012/chart" uri="{CE6537A1-D6FC-4f65-9D91-7224C49458BB}"/>
              </c:extLst>
            </c:dLbl>
            <c:dLbl>
              <c:idx val="1"/>
              <c:layout>
                <c:manualLayout>
                  <c:x val="-5.4644550522530692E-2"/>
                  <c:y val="-4.905239687848403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FD6-404C-92E4-D5A1C46C6F90}"/>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FD6-404C-92E4-D5A1C46C6F90}"/>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FD6-404C-92E4-D5A1C46C6F90}"/>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'4. CHARTS BY PRIORITY'!$AZ$56:$BC$56</c:f>
            </c:numRef>
          </c:val>
          <c:smooth val="0"/>
          <c:extLst xmlns:c16r2="http://schemas.microsoft.com/office/drawing/2015/06/chart">
            <c:ext xmlns:c16="http://schemas.microsoft.com/office/drawing/2014/chart" uri="{C3380CC4-5D6E-409C-BE32-E72D297353CC}">
              <c16:uniqueId val="{00000007-1FD6-404C-92E4-D5A1C46C6F90}"/>
            </c:ext>
            <c:ext xmlns:c15="http://schemas.microsoft.com/office/drawing/2012/chart" uri="{02D57815-91ED-43cb-92C2-25804820EDAC}">
              <c15:filteredCategoryTitle>
                <c15:cat>
                  <c:multiLvlStrRef>
                    <c:extLst>
                      <c:ext uri="{02D57815-91ED-43cb-92C2-25804820EDAC}">
                        <c15:formulaRef>
                          <c15:sqref>'4. CHARTS BY PRIORITY'!$AZ$54:$BC$54</c15:sqref>
                        </c15:formulaRef>
                      </c:ext>
                    </c:extLst>
                  </c:multiLvlStrRef>
                </c15:cat>
              </c15:filteredCategoryTitle>
            </c:ext>
          </c:extLst>
        </c:ser>
        <c:ser>
          <c:idx val="2"/>
          <c:order val="2"/>
          <c:tx>
            <c:strRef>
              <c:f>'4. CHARTS BY PRIORITY'!$AY$57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1FD6-404C-92E4-D5A1C46C6F90}"/>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1FD6-404C-92E4-D5A1C46C6F90}"/>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1FD6-404C-92E4-D5A1C46C6F90}"/>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'4. CHARTS BY PRIORITY'!$AZ$57:$BC$57</c:f>
            </c:numRef>
          </c:val>
          <c:smooth val="0"/>
          <c:extLst xmlns:c16r2="http://schemas.microsoft.com/office/drawing/2015/06/chart">
            <c:ext xmlns:c16="http://schemas.microsoft.com/office/drawing/2014/chart" uri="{C3380CC4-5D6E-409C-BE32-E72D297353CC}">
              <c16:uniqueId val="{0000000B-1FD6-404C-92E4-D5A1C46C6F90}"/>
            </c:ext>
            <c:ext xmlns:c15="http://schemas.microsoft.com/office/drawing/2012/chart" uri="{02D57815-91ED-43cb-92C2-25804820EDAC}">
              <c15:filteredCategoryTitle>
                <c15:cat>
                  <c:multiLvlStrRef>
                    <c:extLst>
                      <c:ext uri="{02D57815-91ED-43cb-92C2-25804820EDAC}">
                        <c15:formulaRef>
                          <c15:sqref>'4. CHARTS BY PRIORITY'!$AZ$54:$BC$54</c15:sqref>
                        </c15:formulaRef>
                      </c:ext>
                    </c:extLst>
                  </c:multiLvlStrRef>
                </c15:cat>
              </c15:filteredCategoryTitle>
            </c:ext>
          </c:extLst>
        </c:ser>
        <c:dLbls>
          <c:showLegendKey val="0"/>
          <c:showVal val="1"/>
          <c:showCatName val="0"/>
          <c:showSerName val="0"/>
          <c:showPercent val="0"/>
          <c:showBubbleSize val="0"/>
        </c:dLbls>
        <c:marker val="1"/>
        <c:smooth val="0"/>
        <c:axId val="381871968"/>
        <c:axId val="381872752"/>
      </c:lineChart>
      <c:catAx>
        <c:axId val="381871968"/>
        <c:scaling>
          <c:orientation val="minMax"/>
        </c:scaling>
        <c:delete val="0"/>
        <c:axPos val="b"/>
        <c:numFmt formatCode="General" sourceLinked="0"/>
        <c:majorTickMark val="out"/>
        <c:minorTickMark val="none"/>
        <c:tickLblPos val="nextTo"/>
        <c:txPr>
          <a:bodyPr/>
          <a:lstStyle/>
          <a:p>
            <a:pPr>
              <a:defRPr lang="en-US"/>
            </a:pPr>
            <a:endParaRPr lang="en-US"/>
          </a:p>
        </c:txPr>
        <c:crossAx val="381872752"/>
        <c:crosses val="autoZero"/>
        <c:auto val="1"/>
        <c:lblAlgn val="ctr"/>
        <c:lblOffset val="100"/>
        <c:noMultiLvlLbl val="0"/>
      </c:catAx>
      <c:valAx>
        <c:axId val="38187275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8187196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8108-493F-A60B-568B8104004D}"/>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8108-493F-A60B-568B8104004D}"/>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8108-493F-A60B-568B8104004D}"/>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PORTFOLIO'!$AY$55:$AY$57</c:f>
              <c:strCache>
                <c:ptCount val="3"/>
                <c:pt idx="0">
                  <c:v>Green</c:v>
                </c:pt>
                <c:pt idx="1">
                  <c:v>Amber</c:v>
                </c:pt>
                <c:pt idx="2">
                  <c:v>Red</c:v>
                </c:pt>
              </c:strCache>
            </c:strRef>
          </c:cat>
          <c:val>
            <c:numRef>
              <c:f>'6. CHARTS BY PORTFOLIO'!$BC$55:$BC$57</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8108-493F-A60B-568B8104004D}"/>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PLANNING</a:t>
            </a: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'6. CHARTS BY PORTFOLIO'!$AY$71</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16F-44FD-9A20-5F0AA50C5759}"/>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16F-44FD-9A20-5F0AA50C5759}"/>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PORTFOLIO'!$AZ$70:$BC$70</c:f>
              <c:strCache>
                <c:ptCount val="4"/>
                <c:pt idx="0">
                  <c:v>Q1</c:v>
                </c:pt>
                <c:pt idx="1">
                  <c:v>Q2</c:v>
                </c:pt>
                <c:pt idx="2">
                  <c:v>Q3</c:v>
                </c:pt>
                <c:pt idx="3">
                  <c:v>Q4</c:v>
                </c:pt>
              </c:strCache>
            </c:strRef>
          </c:cat>
          <c:val>
            <c:numRef>
              <c:f>'6. CHARTS BY PORTFOLIO'!$AZ$71:$BC$71</c:f>
              <c:numCache>
                <c:formatCode>0.00%</c:formatCode>
                <c:ptCount val="4"/>
                <c:pt idx="0">
                  <c:v>1</c:v>
                </c:pt>
                <c:pt idx="1">
                  <c:v>1</c:v>
                </c:pt>
                <c:pt idx="2">
                  <c:v>0.9285714285714286</c:v>
                </c:pt>
                <c:pt idx="3">
                  <c:v>0</c:v>
                </c:pt>
              </c:numCache>
            </c:numRef>
          </c:val>
          <c:smooth val="0"/>
          <c:extLst xmlns:c16r2="http://schemas.microsoft.com/office/drawing/2015/06/chart">
            <c:ext xmlns:c16="http://schemas.microsoft.com/office/drawing/2014/chart" uri="{C3380CC4-5D6E-409C-BE32-E72D297353CC}">
              <c16:uniqueId val="{00000002-016F-44FD-9A20-5F0AA50C5759}"/>
            </c:ext>
          </c:extLst>
        </c:ser>
        <c:ser>
          <c:idx val="1"/>
          <c:order val="1"/>
          <c:tx>
            <c:strRef>
              <c:f>'6. CHARTS BY PORTFOLIO'!$AY$72</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16F-44FD-9A20-5F0AA50C5759}"/>
                </c:ext>
                <c:ext xmlns:c15="http://schemas.microsoft.com/office/drawing/2012/chart" uri="{CE6537A1-D6FC-4f65-9D91-7224C49458BB}"/>
              </c:extLst>
            </c:dLbl>
            <c:dLbl>
              <c:idx val="1"/>
              <c:layout>
                <c:manualLayout>
                  <c:x val="-5.4644550522530692E-2"/>
                  <c:y val="-4.905239687848403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16F-44FD-9A20-5F0AA50C5759}"/>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16F-44FD-9A20-5F0AA50C5759}"/>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16F-44FD-9A20-5F0AA50C5759}"/>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PORTFOLIO'!$AZ$70:$BC$70</c:f>
              <c:strCache>
                <c:ptCount val="4"/>
                <c:pt idx="0">
                  <c:v>Q1</c:v>
                </c:pt>
                <c:pt idx="1">
                  <c:v>Q2</c:v>
                </c:pt>
                <c:pt idx="2">
                  <c:v>Q3</c:v>
                </c:pt>
                <c:pt idx="3">
                  <c:v>Q4</c:v>
                </c:pt>
              </c:strCache>
            </c:strRef>
          </c:cat>
          <c:val>
            <c:numRef>
              <c:f>'6. CHARTS BY PORTFOLIO'!$AZ$72:$BC$72</c:f>
              <c:numCache>
                <c:formatCode>0.00%</c:formatCode>
                <c:ptCount val="4"/>
                <c:pt idx="0">
                  <c:v>0</c:v>
                </c:pt>
                <c:pt idx="1">
                  <c:v>0</c:v>
                </c:pt>
                <c:pt idx="2">
                  <c:v>7.1428571428571425E-2</c:v>
                </c:pt>
                <c:pt idx="3">
                  <c:v>0</c:v>
                </c:pt>
              </c:numCache>
            </c:numRef>
          </c:val>
          <c:smooth val="0"/>
          <c:extLst xmlns:c16r2="http://schemas.microsoft.com/office/drawing/2015/06/chart">
            <c:ext xmlns:c16="http://schemas.microsoft.com/office/drawing/2014/chart" uri="{C3380CC4-5D6E-409C-BE32-E72D297353CC}">
              <c16:uniqueId val="{00000007-016F-44FD-9A20-5F0AA50C5759}"/>
            </c:ext>
          </c:extLst>
        </c:ser>
        <c:ser>
          <c:idx val="2"/>
          <c:order val="2"/>
          <c:tx>
            <c:strRef>
              <c:f>'6. CHARTS BY PORTFOLIO'!$AY$73</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16F-44FD-9A20-5F0AA50C5759}"/>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16F-44FD-9A20-5F0AA50C5759}"/>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16F-44FD-9A20-5F0AA50C5759}"/>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PORTFOLIO'!$AZ$70:$BC$70</c:f>
              <c:strCache>
                <c:ptCount val="4"/>
                <c:pt idx="0">
                  <c:v>Q1</c:v>
                </c:pt>
                <c:pt idx="1">
                  <c:v>Q2</c:v>
                </c:pt>
                <c:pt idx="2">
                  <c:v>Q3</c:v>
                </c:pt>
                <c:pt idx="3">
                  <c:v>Q4</c:v>
                </c:pt>
              </c:strCache>
            </c:strRef>
          </c:cat>
          <c:val>
            <c:numRef>
              <c:f>'6. CHARTS BY PORTFOLIO'!$AZ$73:$BC$73</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B-016F-44FD-9A20-5F0AA50C5759}"/>
            </c:ext>
          </c:extLst>
        </c:ser>
        <c:dLbls>
          <c:showLegendKey val="0"/>
          <c:showVal val="1"/>
          <c:showCatName val="0"/>
          <c:showSerName val="0"/>
          <c:showPercent val="0"/>
          <c:showBubbleSize val="0"/>
        </c:dLbls>
        <c:smooth val="0"/>
        <c:axId val="383869136"/>
        <c:axId val="383866392"/>
      </c:lineChart>
      <c:catAx>
        <c:axId val="383869136"/>
        <c:scaling>
          <c:orientation val="minMax"/>
        </c:scaling>
        <c:delete val="0"/>
        <c:axPos val="b"/>
        <c:numFmt formatCode="General" sourceLinked="0"/>
        <c:majorTickMark val="out"/>
        <c:minorTickMark val="none"/>
        <c:tickLblPos val="nextTo"/>
        <c:txPr>
          <a:bodyPr/>
          <a:lstStyle/>
          <a:p>
            <a:pPr>
              <a:defRPr lang="en-US"/>
            </a:pPr>
            <a:endParaRPr lang="en-US"/>
          </a:p>
        </c:txPr>
        <c:crossAx val="383866392"/>
        <c:crosses val="autoZero"/>
        <c:auto val="1"/>
        <c:lblAlgn val="ctr"/>
        <c:lblOffset val="100"/>
        <c:noMultiLvlLbl val="0"/>
      </c:catAx>
      <c:valAx>
        <c:axId val="383866392"/>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8386913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PLANNING </a:t>
            </a: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2CC4-4DCF-972D-828886DB5E2C}"/>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2CC4-4DCF-972D-828886DB5E2C}"/>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2CC4-4DCF-972D-828886DB5E2C}"/>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PORTFOLIO'!$AY$71:$AY$73</c:f>
              <c:strCache>
                <c:ptCount val="3"/>
                <c:pt idx="0">
                  <c:v>Green</c:v>
                </c:pt>
                <c:pt idx="1">
                  <c:v>Amber</c:v>
                </c:pt>
                <c:pt idx="2">
                  <c:v>Red</c:v>
                </c:pt>
              </c:strCache>
            </c:strRef>
          </c:cat>
          <c:val>
            <c:numRef>
              <c:f>'6. CHARTS BY PORTFOLIO'!$AZ$71:$AZ$73</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2CC4-4DCF-972D-828886DB5E2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baseline="0"/>
              <a:t>PLANNING </a:t>
            </a: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B009-44DB-8D6B-7B084F70A94C}"/>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B009-44DB-8D6B-7B084F70A94C}"/>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B009-44DB-8D6B-7B084F70A94C}"/>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PORTFOLIO'!$AY$71:$AY$73</c:f>
              <c:strCache>
                <c:ptCount val="3"/>
                <c:pt idx="0">
                  <c:v>Green</c:v>
                </c:pt>
                <c:pt idx="1">
                  <c:v>Amber</c:v>
                </c:pt>
                <c:pt idx="2">
                  <c:v>Red</c:v>
                </c:pt>
              </c:strCache>
            </c:strRef>
          </c:cat>
          <c:val>
            <c:numRef>
              <c:f>'6. CHARTS BY PORTFOLIO'!$BA$71:$BA$73</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B009-44DB-8D6B-7B084F70A94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baseline="0"/>
              <a:t>PLANNING </a:t>
            </a: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8324-40E8-AEBE-C378BF949D0A}"/>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8324-40E8-AEBE-C378BF949D0A}"/>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8324-40E8-AEBE-C378BF949D0A}"/>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PORTFOLIO'!$AY$71:$AY$73</c:f>
              <c:strCache>
                <c:ptCount val="3"/>
                <c:pt idx="0">
                  <c:v>Green</c:v>
                </c:pt>
                <c:pt idx="1">
                  <c:v>Amber</c:v>
                </c:pt>
                <c:pt idx="2">
                  <c:v>Red</c:v>
                </c:pt>
              </c:strCache>
            </c:strRef>
          </c:cat>
          <c:val>
            <c:numRef>
              <c:f>'6. CHARTS BY PORTFOLIO'!$BB$71:$BB$73</c:f>
              <c:numCache>
                <c:formatCode>0.00%</c:formatCode>
                <c:ptCount val="3"/>
                <c:pt idx="0">
                  <c:v>0.9285714285714286</c:v>
                </c:pt>
                <c:pt idx="1">
                  <c:v>7.1428571428571425E-2</c:v>
                </c:pt>
                <c:pt idx="2">
                  <c:v>0</c:v>
                </c:pt>
              </c:numCache>
            </c:numRef>
          </c:val>
          <c:extLst xmlns:c16r2="http://schemas.microsoft.com/office/drawing/2015/06/chart">
            <c:ext xmlns:c16="http://schemas.microsoft.com/office/drawing/2014/chart" uri="{C3380CC4-5D6E-409C-BE32-E72D297353CC}">
              <c16:uniqueId val="{00000003-8324-40E8-AEBE-C378BF949D0A}"/>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baseline="0"/>
              <a:t>PLANNING </a:t>
            </a:r>
            <a:endParaRPr lang="en-GB"/>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ECD8-4549-A281-844D2CE821B1}"/>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ECD8-4549-A281-844D2CE821B1}"/>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ECD8-4549-A281-844D2CE821B1}"/>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PORTFOLIO'!$AY$71:$AY$73</c:f>
              <c:strCache>
                <c:ptCount val="3"/>
                <c:pt idx="0">
                  <c:v>Green</c:v>
                </c:pt>
                <c:pt idx="1">
                  <c:v>Amber</c:v>
                </c:pt>
                <c:pt idx="2">
                  <c:v>Red</c:v>
                </c:pt>
              </c:strCache>
            </c:strRef>
          </c:cat>
          <c:val>
            <c:numRef>
              <c:f>'6. CHARTS BY PORTFOLIO'!$BC$71:$BC$73</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ECD8-4549-A281-844D2CE821B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REGULATORY</a:t>
            </a:r>
            <a:r>
              <a:rPr lang="en-GB" sz="1200" u="sng" baseline="0">
                <a:latin typeface="Arial" pitchFamily="34" charset="0"/>
                <a:cs typeface="Arial" pitchFamily="34" charset="0"/>
              </a:rPr>
              <a:t> SERVICES</a:t>
            </a:r>
            <a:endParaRPr lang="en-GB" sz="12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'6. CHARTS BY PORTFOLIO'!$AY$87</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6EA-4448-A0B2-B9FB71237ED9}"/>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6EA-4448-A0B2-B9FB71237ED9}"/>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PORTFOLIO'!$AZ$86:$BC$86</c:f>
              <c:strCache>
                <c:ptCount val="4"/>
                <c:pt idx="0">
                  <c:v>Q1</c:v>
                </c:pt>
                <c:pt idx="1">
                  <c:v>Q2</c:v>
                </c:pt>
                <c:pt idx="2">
                  <c:v>Q3</c:v>
                </c:pt>
                <c:pt idx="3">
                  <c:v>Q4</c:v>
                </c:pt>
              </c:strCache>
            </c:strRef>
          </c:cat>
          <c:val>
            <c:numRef>
              <c:f>'6. CHARTS BY PORTFOLIO'!$AZ$87:$BC$87</c:f>
              <c:numCache>
                <c:formatCode>0.00%</c:formatCode>
                <c:ptCount val="4"/>
                <c:pt idx="0">
                  <c:v>1</c:v>
                </c:pt>
                <c:pt idx="1">
                  <c:v>1</c:v>
                </c:pt>
                <c:pt idx="2">
                  <c:v>1</c:v>
                </c:pt>
                <c:pt idx="3">
                  <c:v>0</c:v>
                </c:pt>
              </c:numCache>
            </c:numRef>
          </c:val>
          <c:smooth val="0"/>
          <c:extLst xmlns:c16r2="http://schemas.microsoft.com/office/drawing/2015/06/chart">
            <c:ext xmlns:c16="http://schemas.microsoft.com/office/drawing/2014/chart" uri="{C3380CC4-5D6E-409C-BE32-E72D297353CC}">
              <c16:uniqueId val="{00000002-76EA-4448-A0B2-B9FB71237ED9}"/>
            </c:ext>
          </c:extLst>
        </c:ser>
        <c:ser>
          <c:idx val="1"/>
          <c:order val="1"/>
          <c:tx>
            <c:strRef>
              <c:f>'6. CHARTS BY PORTFOLIO'!$AY$88</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6EA-4448-A0B2-B9FB71237ED9}"/>
                </c:ext>
                <c:ext xmlns:c15="http://schemas.microsoft.com/office/drawing/2012/chart" uri="{CE6537A1-D6FC-4f65-9D91-7224C49458BB}"/>
              </c:extLst>
            </c:dLbl>
            <c:dLbl>
              <c:idx val="1"/>
              <c:layout>
                <c:manualLayout>
                  <c:x val="-5.4644550522530692E-2"/>
                  <c:y val="-4.905239687848403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6EA-4448-A0B2-B9FB71237ED9}"/>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6EA-4448-A0B2-B9FB71237ED9}"/>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76EA-4448-A0B2-B9FB71237ED9}"/>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PORTFOLIO'!$AZ$86:$BC$86</c:f>
              <c:strCache>
                <c:ptCount val="4"/>
                <c:pt idx="0">
                  <c:v>Q1</c:v>
                </c:pt>
                <c:pt idx="1">
                  <c:v>Q2</c:v>
                </c:pt>
                <c:pt idx="2">
                  <c:v>Q3</c:v>
                </c:pt>
                <c:pt idx="3">
                  <c:v>Q4</c:v>
                </c:pt>
              </c:strCache>
            </c:strRef>
          </c:cat>
          <c:val>
            <c:numRef>
              <c:f>'6. CHARTS BY PORTFOLIO'!$AZ$88:$BC$88</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7-76EA-4448-A0B2-B9FB71237ED9}"/>
            </c:ext>
          </c:extLst>
        </c:ser>
        <c:ser>
          <c:idx val="2"/>
          <c:order val="2"/>
          <c:tx>
            <c:strRef>
              <c:f>'6. CHARTS BY PORTFOLIO'!$AY$89</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76EA-4448-A0B2-B9FB71237ED9}"/>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76EA-4448-A0B2-B9FB71237ED9}"/>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76EA-4448-A0B2-B9FB71237ED9}"/>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PORTFOLIO'!$AZ$86:$BC$86</c:f>
              <c:strCache>
                <c:ptCount val="4"/>
                <c:pt idx="0">
                  <c:v>Q1</c:v>
                </c:pt>
                <c:pt idx="1">
                  <c:v>Q2</c:v>
                </c:pt>
                <c:pt idx="2">
                  <c:v>Q3</c:v>
                </c:pt>
                <c:pt idx="3">
                  <c:v>Q4</c:v>
                </c:pt>
              </c:strCache>
            </c:strRef>
          </c:cat>
          <c:val>
            <c:numRef>
              <c:f>'6. CHARTS BY PORTFOLIO'!$AZ$89:$BC$89</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B-76EA-4448-A0B2-B9FB71237ED9}"/>
            </c:ext>
          </c:extLst>
        </c:ser>
        <c:dLbls>
          <c:showLegendKey val="0"/>
          <c:showVal val="1"/>
          <c:showCatName val="0"/>
          <c:showSerName val="0"/>
          <c:showPercent val="0"/>
          <c:showBubbleSize val="0"/>
        </c:dLbls>
        <c:smooth val="0"/>
        <c:axId val="385133944"/>
        <c:axId val="385128456"/>
      </c:lineChart>
      <c:catAx>
        <c:axId val="385133944"/>
        <c:scaling>
          <c:orientation val="minMax"/>
        </c:scaling>
        <c:delete val="0"/>
        <c:axPos val="b"/>
        <c:numFmt formatCode="General" sourceLinked="0"/>
        <c:majorTickMark val="out"/>
        <c:minorTickMark val="none"/>
        <c:tickLblPos val="nextTo"/>
        <c:txPr>
          <a:bodyPr/>
          <a:lstStyle/>
          <a:p>
            <a:pPr>
              <a:defRPr lang="en-US"/>
            </a:pPr>
            <a:endParaRPr lang="en-US"/>
          </a:p>
        </c:txPr>
        <c:crossAx val="385128456"/>
        <c:crosses val="autoZero"/>
        <c:auto val="1"/>
        <c:lblAlgn val="ctr"/>
        <c:lblOffset val="100"/>
        <c:noMultiLvlLbl val="0"/>
      </c:catAx>
      <c:valAx>
        <c:axId val="38512845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8513394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REGULATORY SERVICES</a:t>
            </a:r>
            <a:r>
              <a:rPr lang="en-US" baseline="0"/>
              <a:t> -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79B0-41A6-BAE1-B1764C88B8C1}"/>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79B0-41A6-BAE1-B1764C88B8C1}"/>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79B0-41A6-BAE1-B1764C88B8C1}"/>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PORTFOLIO'!$AY$87:$AY$89</c:f>
              <c:strCache>
                <c:ptCount val="3"/>
                <c:pt idx="0">
                  <c:v>Green</c:v>
                </c:pt>
                <c:pt idx="1">
                  <c:v>Amber</c:v>
                </c:pt>
                <c:pt idx="2">
                  <c:v>Red</c:v>
                </c:pt>
              </c:strCache>
            </c:strRef>
          </c:cat>
          <c:val>
            <c:numRef>
              <c:f>'6. CHARTS BY PORTFOLIO'!$AZ$87:$AZ$89</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79B0-41A6-BAE1-B1764C88B8C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t>REGULATORY SERVICES - </a:t>
            </a:r>
            <a:r>
              <a:rPr lang="en-US" sz="1800" b="1" i="0" baseline="0"/>
              <a:t>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87F2-4A5C-A29C-60590D56AB71}"/>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87F2-4A5C-A29C-60590D56AB71}"/>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87F2-4A5C-A29C-60590D56AB71}"/>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PORTFOLIO'!$AY$87:$AY$89</c:f>
              <c:strCache>
                <c:ptCount val="3"/>
                <c:pt idx="0">
                  <c:v>Green</c:v>
                </c:pt>
                <c:pt idx="1">
                  <c:v>Amber</c:v>
                </c:pt>
                <c:pt idx="2">
                  <c:v>Red</c:v>
                </c:pt>
              </c:strCache>
            </c:strRef>
          </c:cat>
          <c:val>
            <c:numRef>
              <c:f>'6. CHARTS BY PORTFOLIO'!$BA$87:$BA$89</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87F2-4A5C-A29C-60590D56AB7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t>REGULATORY SERVICES - </a:t>
            </a:r>
            <a:r>
              <a:rPr lang="en-US" sz="1800" b="1" i="0" baseline="0"/>
              <a:t>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8BE8-4F67-A9C0-F1DE6D3FFEB6}"/>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8BE8-4F67-A9C0-F1DE6D3FFEB6}"/>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8BE8-4F67-A9C0-F1DE6D3FFEB6}"/>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PORTFOLIO'!$AY$87:$AY$89</c:f>
              <c:strCache>
                <c:ptCount val="3"/>
                <c:pt idx="0">
                  <c:v>Green</c:v>
                </c:pt>
                <c:pt idx="1">
                  <c:v>Amber</c:v>
                </c:pt>
                <c:pt idx="2">
                  <c:v>Red</c:v>
                </c:pt>
              </c:strCache>
            </c:strRef>
          </c:cat>
          <c:val>
            <c:numRef>
              <c:f>'6. CHARTS BY PORTFOLIO'!$BB$87:$BB$89</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8BE8-4F67-A9C0-F1DE6D3FFEB6}"/>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ALL TARGETS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9BDF-4743-8367-D995DA49E225}"/>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9BDF-4743-8367-D995DA49E225}"/>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9BDF-4743-8367-D995DA49E225}"/>
              </c:ext>
            </c:extLst>
          </c:dPt>
          <c:dLbls>
            <c:delete val="1"/>
          </c:dLbls>
          <c:cat>
            <c:strRef>
              <c:f>'4. CHARTS BY PRIORITY'!$AY$7:$AY$9</c:f>
              <c:strCache>
                <c:ptCount val="3"/>
                <c:pt idx="0">
                  <c:v>Green</c:v>
                </c:pt>
                <c:pt idx="1">
                  <c:v>Amber</c:v>
                </c:pt>
                <c:pt idx="2">
                  <c:v>Red</c:v>
                </c:pt>
              </c:strCache>
            </c:strRef>
          </c:cat>
          <c:val>
            <c:numRef>
              <c:f>'4. CHARTS BY PRIORITY'!$AZ$7:$AZ$9</c:f>
              <c:numCache>
                <c:formatCode>0.00%</c:formatCode>
                <c:ptCount val="3"/>
                <c:pt idx="0">
                  <c:v>0.9885057471264368</c:v>
                </c:pt>
                <c:pt idx="1">
                  <c:v>0</c:v>
                </c:pt>
                <c:pt idx="2">
                  <c:v>1.1494252873563218E-2</c:v>
                </c:pt>
              </c:numCache>
            </c:numRef>
          </c:val>
          <c:extLst xmlns:c16r2="http://schemas.microsoft.com/office/drawing/2015/06/chart">
            <c:ext xmlns:c16="http://schemas.microsoft.com/office/drawing/2014/chart" uri="{C3380CC4-5D6E-409C-BE32-E72D297353CC}">
              <c16:uniqueId val="{00000003-9BDF-4743-8367-D995DA49E225}"/>
            </c:ext>
          </c:extLst>
        </c:ser>
        <c:dLbls>
          <c:showLegendKey val="0"/>
          <c:showVal val="0"/>
          <c:showCatName val="1"/>
          <c:showSerName val="0"/>
          <c:showPercent val="1"/>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t>REGULATORY SERVICES - </a:t>
            </a:r>
            <a:r>
              <a:rPr lang="en-US" sz="1800" b="1" i="0" baseline="0"/>
              <a:t>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0261-481C-BCCE-39F73A8A651E}"/>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0261-481C-BCCE-39F73A8A651E}"/>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0261-481C-BCCE-39F73A8A651E}"/>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PORTFOLIO'!$AY$87:$AY$89</c:f>
              <c:strCache>
                <c:ptCount val="3"/>
                <c:pt idx="0">
                  <c:v>Green</c:v>
                </c:pt>
                <c:pt idx="1">
                  <c:v>Amber</c:v>
                </c:pt>
                <c:pt idx="2">
                  <c:v>Red</c:v>
                </c:pt>
              </c:strCache>
            </c:strRef>
          </c:cat>
          <c:val>
            <c:numRef>
              <c:f>'6. CHARTS BY PORTFOLIO'!$BC$87:$BC$89</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0261-481C-BCCE-39F73A8A651E}"/>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TOWN CENTRE AND NEIGHBOURHOODS</a:t>
            </a: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'6. CHARTS BY PORTFOLIO'!$AY$103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3D7-42C9-8D45-76AE80E2C2FB}"/>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3D7-42C9-8D45-76AE80E2C2FB}"/>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PORTFOLIO'!$AZ$102:$BC$102</c:f>
              <c:strCache>
                <c:ptCount val="4"/>
                <c:pt idx="0">
                  <c:v>Q1</c:v>
                </c:pt>
                <c:pt idx="1">
                  <c:v>Q2</c:v>
                </c:pt>
                <c:pt idx="2">
                  <c:v>Q3</c:v>
                </c:pt>
                <c:pt idx="3">
                  <c:v>Q4</c:v>
                </c:pt>
              </c:strCache>
            </c:strRef>
          </c:cat>
          <c:val>
            <c:numRef>
              <c:f>'6. CHARTS BY PORTFOLIO'!$AZ$103:$BC$103</c:f>
              <c:numCache>
                <c:formatCode>0.00%</c:formatCode>
                <c:ptCount val="4"/>
                <c:pt idx="0">
                  <c:v>0.8</c:v>
                </c:pt>
                <c:pt idx="1">
                  <c:v>0.8</c:v>
                </c:pt>
                <c:pt idx="2">
                  <c:v>0.8</c:v>
                </c:pt>
                <c:pt idx="3">
                  <c:v>0</c:v>
                </c:pt>
              </c:numCache>
            </c:numRef>
          </c:val>
          <c:smooth val="0"/>
          <c:extLst xmlns:c16r2="http://schemas.microsoft.com/office/drawing/2015/06/chart">
            <c:ext xmlns:c16="http://schemas.microsoft.com/office/drawing/2014/chart" uri="{C3380CC4-5D6E-409C-BE32-E72D297353CC}">
              <c16:uniqueId val="{00000002-C3D7-42C9-8D45-76AE80E2C2FB}"/>
            </c:ext>
          </c:extLst>
        </c:ser>
        <c:ser>
          <c:idx val="1"/>
          <c:order val="1"/>
          <c:tx>
            <c:strRef>
              <c:f>'6. CHARTS BY PORTFOLIO'!$AY$104</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3D7-42C9-8D45-76AE80E2C2FB}"/>
                </c:ext>
                <c:ext xmlns:c15="http://schemas.microsoft.com/office/drawing/2012/chart" uri="{CE6537A1-D6FC-4f65-9D91-7224C49458BB}"/>
              </c:extLst>
            </c:dLbl>
            <c:dLbl>
              <c:idx val="1"/>
              <c:layout>
                <c:manualLayout>
                  <c:x val="-5.4644550522530692E-2"/>
                  <c:y val="-4.905239687848403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3D7-42C9-8D45-76AE80E2C2FB}"/>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3D7-42C9-8D45-76AE80E2C2FB}"/>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3D7-42C9-8D45-76AE80E2C2FB}"/>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PORTFOLIO'!$AZ$102:$BC$102</c:f>
              <c:strCache>
                <c:ptCount val="4"/>
                <c:pt idx="0">
                  <c:v>Q1</c:v>
                </c:pt>
                <c:pt idx="1">
                  <c:v>Q2</c:v>
                </c:pt>
                <c:pt idx="2">
                  <c:v>Q3</c:v>
                </c:pt>
                <c:pt idx="3">
                  <c:v>Q4</c:v>
                </c:pt>
              </c:strCache>
            </c:strRef>
          </c:cat>
          <c:val>
            <c:numRef>
              <c:f>'6. CHARTS BY PORTFOLIO'!$AZ$104:$BC$104</c:f>
              <c:numCache>
                <c:formatCode>0.00%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7-C3D7-42C9-8D45-76AE80E2C2FB}"/>
            </c:ext>
          </c:extLst>
        </c:ser>
        <c:ser>
          <c:idx val="2"/>
          <c:order val="2"/>
          <c:tx>
            <c:strRef>
              <c:f>'6. CHARTS BY PORTFOLIO'!$AY$105</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3D7-42C9-8D45-76AE80E2C2FB}"/>
                </c:ext>
                <c:ext xmlns:c15="http://schemas.microsoft.com/office/drawing/2012/chart" uri="{CE6537A1-D6FC-4f65-9D91-7224C49458BB}"/>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3D7-42C9-8D45-76AE80E2C2FB}"/>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3D7-42C9-8D45-76AE80E2C2FB}"/>
                </c:ext>
                <c:ext xmlns:c15="http://schemas.microsoft.com/office/drawing/2012/chart" uri="{CE6537A1-D6FC-4f65-9D91-7224C49458BB}"/>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'6. CHARTS BY PORTFOLIO'!$AZ$102:$BC$102</c:f>
              <c:strCache>
                <c:ptCount val="4"/>
                <c:pt idx="0">
                  <c:v>Q1</c:v>
                </c:pt>
                <c:pt idx="1">
                  <c:v>Q2</c:v>
                </c:pt>
                <c:pt idx="2">
                  <c:v>Q3</c:v>
                </c:pt>
                <c:pt idx="3">
                  <c:v>Q4</c:v>
                </c:pt>
              </c:strCache>
            </c:strRef>
          </c:cat>
          <c:val>
            <c:numRef>
              <c:f>'6. CHARTS BY PORTFOLIO'!$AZ$105:$BC$105</c:f>
              <c:numCache>
                <c:formatCode>0.00%</c:formatCode>
                <c:ptCount val="4"/>
                <c:pt idx="0">
                  <c:v>0.2</c:v>
                </c:pt>
                <c:pt idx="1">
                  <c:v>0.2</c:v>
                </c:pt>
                <c:pt idx="2">
                  <c:v>0.2</c:v>
                </c:pt>
                <c:pt idx="3">
                  <c:v>0</c:v>
                </c:pt>
              </c:numCache>
            </c:numRef>
          </c:val>
          <c:smooth val="0"/>
          <c:extLst xmlns:c16r2="http://schemas.microsoft.com/office/drawing/2015/06/chart">
            <c:ext xmlns:c16="http://schemas.microsoft.com/office/drawing/2014/chart" uri="{C3380CC4-5D6E-409C-BE32-E72D297353CC}">
              <c16:uniqueId val="{0000000B-C3D7-42C9-8D45-76AE80E2C2FB}"/>
            </c:ext>
          </c:extLst>
        </c:ser>
        <c:dLbls>
          <c:showLegendKey val="0"/>
          <c:showVal val="1"/>
          <c:showCatName val="0"/>
          <c:showSerName val="0"/>
          <c:showPercent val="0"/>
          <c:showBubbleSize val="0"/>
        </c:dLbls>
        <c:smooth val="0"/>
        <c:axId val="385133552"/>
        <c:axId val="385126496"/>
      </c:lineChart>
      <c:catAx>
        <c:axId val="385133552"/>
        <c:scaling>
          <c:orientation val="minMax"/>
        </c:scaling>
        <c:delete val="0"/>
        <c:axPos val="b"/>
        <c:numFmt formatCode="General" sourceLinked="0"/>
        <c:majorTickMark val="out"/>
        <c:minorTickMark val="none"/>
        <c:tickLblPos val="nextTo"/>
        <c:txPr>
          <a:bodyPr/>
          <a:lstStyle/>
          <a:p>
            <a:pPr>
              <a:defRPr lang="en-US"/>
            </a:pPr>
            <a:endParaRPr lang="en-US"/>
          </a:p>
        </c:txPr>
        <c:crossAx val="385126496"/>
        <c:crosses val="autoZero"/>
        <c:auto val="1"/>
        <c:lblAlgn val="ctr"/>
        <c:lblOffset val="100"/>
        <c:noMultiLvlLbl val="0"/>
      </c:catAx>
      <c:valAx>
        <c:axId val="38512649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8513355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TOWN CENTRE AND NEIGHBOURHOODS </a:t>
            </a: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4F6F-4EF2-97FD-3C834BE65EC2}"/>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4F6F-4EF2-97FD-3C834BE65EC2}"/>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4F6F-4EF2-97FD-3C834BE65EC2}"/>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PORTFOLIO'!$AY$103:$AY$105</c:f>
              <c:strCache>
                <c:ptCount val="3"/>
                <c:pt idx="0">
                  <c:v>Green</c:v>
                </c:pt>
                <c:pt idx="1">
                  <c:v>Amber</c:v>
                </c:pt>
                <c:pt idx="2">
                  <c:v>Red</c:v>
                </c:pt>
              </c:strCache>
            </c:strRef>
          </c:cat>
          <c:val>
            <c:numRef>
              <c:f>'6. CHARTS BY PORTFOLIO'!$AZ$103:$AZ$105</c:f>
              <c:numCache>
                <c:formatCode>0.00%</c:formatCode>
                <c:ptCount val="3"/>
                <c:pt idx="0">
                  <c:v>0.8</c:v>
                </c:pt>
                <c:pt idx="1">
                  <c:v>0</c:v>
                </c:pt>
                <c:pt idx="2">
                  <c:v>0.2</c:v>
                </c:pt>
              </c:numCache>
            </c:numRef>
          </c:val>
          <c:extLst xmlns:c16r2="http://schemas.microsoft.com/office/drawing/2015/06/chart">
            <c:ext xmlns:c16="http://schemas.microsoft.com/office/drawing/2014/chart" uri="{C3380CC4-5D6E-409C-BE32-E72D297353CC}">
              <c16:uniqueId val="{00000003-4F6F-4EF2-97FD-3C834BE65EC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TOWN CENTRE AND NEIGHBOURHOODS </a:t>
            </a:r>
            <a:r>
              <a:rPr lang="en-US" sz="1800" b="1" i="0" u="none" strike="noStrike" baseline="0"/>
              <a:t>- </a:t>
            </a:r>
            <a:r>
              <a:rPr lang="en-US" sz="1800" b="1" i="0" baseline="0"/>
              <a:t>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C644-44AC-9D7B-0FA7C02E6418}"/>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C644-44AC-9D7B-0FA7C02E6418}"/>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C644-44AC-9D7B-0FA7C02E6418}"/>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PORTFOLIO'!$AY$103:$AY$105</c:f>
              <c:strCache>
                <c:ptCount val="3"/>
                <c:pt idx="0">
                  <c:v>Green</c:v>
                </c:pt>
                <c:pt idx="1">
                  <c:v>Amber</c:v>
                </c:pt>
                <c:pt idx="2">
                  <c:v>Red</c:v>
                </c:pt>
              </c:strCache>
            </c:strRef>
          </c:cat>
          <c:val>
            <c:numRef>
              <c:f>'6. CHARTS BY PORTFOLIO'!$BA$103:$BA$105</c:f>
              <c:numCache>
                <c:formatCode>0.00%</c:formatCode>
                <c:ptCount val="3"/>
                <c:pt idx="0">
                  <c:v>0.8</c:v>
                </c:pt>
                <c:pt idx="1">
                  <c:v>0</c:v>
                </c:pt>
                <c:pt idx="2">
                  <c:v>0.2</c:v>
                </c:pt>
              </c:numCache>
            </c:numRef>
          </c:val>
          <c:extLst xmlns:c16r2="http://schemas.microsoft.com/office/drawing/2015/06/chart">
            <c:ext xmlns:c16="http://schemas.microsoft.com/office/drawing/2014/chart" uri="{C3380CC4-5D6E-409C-BE32-E72D297353CC}">
              <c16:uniqueId val="{00000003-C644-44AC-9D7B-0FA7C02E6418}"/>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TOWN CENTRE AND NEIGHBOURHOODS </a:t>
            </a:r>
            <a:r>
              <a:rPr lang="en-US" sz="1800" b="1" i="0" u="none" strike="noStrike" baseline="0"/>
              <a:t>- </a:t>
            </a:r>
            <a:r>
              <a:rPr lang="en-US" sz="1800" b="1" i="0" baseline="0"/>
              <a:t>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2C74-4639-B076-B02FA0B8310F}"/>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2C74-4639-B076-B02FA0B8310F}"/>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2C74-4639-B076-B02FA0B8310F}"/>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PORTFOLIO'!$AY$103:$AY$105</c:f>
              <c:strCache>
                <c:ptCount val="3"/>
                <c:pt idx="0">
                  <c:v>Green</c:v>
                </c:pt>
                <c:pt idx="1">
                  <c:v>Amber</c:v>
                </c:pt>
                <c:pt idx="2">
                  <c:v>Red</c:v>
                </c:pt>
              </c:strCache>
            </c:strRef>
          </c:cat>
          <c:val>
            <c:numRef>
              <c:f>'6. CHARTS BY PORTFOLIO'!$BB$103:$BB$105</c:f>
              <c:numCache>
                <c:formatCode>0.00%</c:formatCode>
                <c:ptCount val="3"/>
                <c:pt idx="0">
                  <c:v>0.8</c:v>
                </c:pt>
                <c:pt idx="1">
                  <c:v>0</c:v>
                </c:pt>
                <c:pt idx="2">
                  <c:v>0.2</c:v>
                </c:pt>
              </c:numCache>
            </c:numRef>
          </c:val>
          <c:extLst xmlns:c16r2="http://schemas.microsoft.com/office/drawing/2015/06/chart">
            <c:ext xmlns:c16="http://schemas.microsoft.com/office/drawing/2014/chart" uri="{C3380CC4-5D6E-409C-BE32-E72D297353CC}">
              <c16:uniqueId val="{00000003-2C74-4639-B076-B02FA0B8310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TOWN CENTRE AND NEIGHBOURHOODS </a:t>
            </a:r>
            <a:r>
              <a:rPr lang="en-US" sz="1800" b="1" i="0" u="none" strike="noStrike" baseline="0"/>
              <a:t>- </a:t>
            </a:r>
            <a:r>
              <a:rPr lang="en-US" sz="1800" b="1" i="0" baseline="0"/>
              <a:t>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32D2-4242-9596-D2A134E57BEC}"/>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32D2-4242-9596-D2A134E57BEC}"/>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32D2-4242-9596-D2A134E57BEC}"/>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'6. CHARTS BY PORTFOLIO'!$AY$103:$AY$105</c:f>
              <c:strCache>
                <c:ptCount val="3"/>
                <c:pt idx="0">
                  <c:v>Green</c:v>
                </c:pt>
                <c:pt idx="1">
                  <c:v>Amber</c:v>
                </c:pt>
                <c:pt idx="2">
                  <c:v>Red</c:v>
                </c:pt>
              </c:strCache>
            </c:strRef>
          </c:cat>
          <c:val>
            <c:numRef>
              <c:f>'6. CHARTS BY PORTFOLIO'!$BC$103:$BC$105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32D2-4242-9596-D2A134E57BE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VALUE FOR MONEY COUNCIL SERVICES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96B7-4A38-A51C-3A27625D9AE4}"/>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96B7-4A38-A51C-3A27625D9AE4}"/>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96B7-4A38-A51C-3A27625D9AE4}"/>
              </c:ext>
            </c:extLst>
          </c:dPt>
          <c:cat>
            <c:strRef>
              <c:f>'4. CHARTS BY PRIORITY'!$AY$23:$AY$25</c:f>
              <c:strCache>
                <c:ptCount val="3"/>
                <c:pt idx="0">
                  <c:v>Green</c:v>
                </c:pt>
                <c:pt idx="1">
                  <c:v>Amber</c:v>
                </c:pt>
                <c:pt idx="2">
                  <c:v>Red</c:v>
                </c:pt>
              </c:strCache>
            </c:strRef>
          </c:cat>
          <c:val>
            <c:numRef>
              <c:f>'4. CHARTS BY PRIORITY'!$AZ$23:$AZ$25</c:f>
              <c:numCache>
                <c:formatCode>0.00%</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3-96B7-4A38-A51C-3A27625D9AE4}"/>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PROMOTING LOCAL ECONOMIC GROWTH - Quarter 1</a:t>
            </a:r>
          </a:p>
        </c:rich>
      </c:tx>
      <c:overlay val="0"/>
      <c:spPr>
        <a:solidFill>
          <a:schemeClr val="bg1"/>
        </a:solidFill>
      </c:spPr>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8333-4466-970B-BC246C30874E}"/>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8333-4466-970B-BC246C30874E}"/>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8333-4466-970B-BC246C30874E}"/>
              </c:ext>
            </c:extLst>
          </c:dPt>
          <c:cat>
            <c:multiLvlStrRef>
              <c:f>'4. CHARTS BY PRIORITY'!$AY$39:$AY$41</c:f>
            </c:multiLvlStrRef>
          </c:cat>
          <c:val>
            <c:numRef>
              <c:f>'4. CHARTS BY PRIORITY'!$AZ$39:$AZ$41</c:f>
            </c:numRef>
          </c:val>
          <c:extLst xmlns:c16r2="http://schemas.microsoft.com/office/drawing/2015/06/chart">
            <c:ext xmlns:c16="http://schemas.microsoft.com/office/drawing/2014/chart" uri="{C3380CC4-5D6E-409C-BE32-E72D297353CC}">
              <c16:uniqueId val="{00000003-8333-4466-970B-BC246C30874E}"/>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PROTECTING AND STRENGTHENING COMMUNITIES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F00D-4878-9064-9C519C9A2924}"/>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F00D-4878-9064-9C519C9A2924}"/>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F00D-4878-9064-9C519C9A2924}"/>
              </c:ext>
            </c:extLst>
          </c:dPt>
          <c:cat>
            <c:multiLvlStrRef>
              <c:f>'4. CHARTS BY PRIORITY'!$AY$55:$AY$57</c:f>
            </c:multiLvlStrRef>
          </c:cat>
          <c:val>
            <c:numRef>
              <c:f>'4. CHARTS BY PRIORITY'!$AZ$55:$AZ$57</c:f>
            </c:numRef>
          </c:val>
          <c:extLst xmlns:c16r2="http://schemas.microsoft.com/office/drawing/2015/06/chart">
            <c:ext xmlns:c16="http://schemas.microsoft.com/office/drawing/2014/chart" uri="{C3380CC4-5D6E-409C-BE32-E72D297353CC}">
              <c16:uniqueId val="{00000003-F00D-4878-9064-9C519C9A2924}"/>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xmlns:c16r2="http://schemas.microsoft.com/office/drawing/2015/06/chart">
              <c:ext xmlns:c16="http://schemas.microsoft.com/office/drawing/2014/chart" uri="{C3380CC4-5D6E-409C-BE32-E72D297353CC}">
                <c16:uniqueId val="{00000000-5191-4694-B510-D0DD546A4D52}"/>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1-5191-4694-B510-D0DD546A4D52}"/>
              </c:ext>
            </c:extLst>
          </c:dPt>
          <c:dPt>
            <c:idx val="2"/>
            <c:bubble3D val="0"/>
            <c:spPr>
              <a:solidFill>
                <a:srgbClr val="FF0000"/>
              </a:solidFill>
            </c:spPr>
            <c:extLst xmlns:c16r2="http://schemas.microsoft.com/office/drawing/2015/06/chart">
              <c:ext xmlns:c16="http://schemas.microsoft.com/office/drawing/2014/chart" uri="{C3380CC4-5D6E-409C-BE32-E72D297353CC}">
                <c16:uniqueId val="{00000002-5191-4694-B510-D0DD546A4D52}"/>
              </c:ext>
            </c:extLst>
          </c:dPt>
          <c:cat>
            <c:strRef>
              <c:f>'4. CHARTS BY PRIORITY'!$AY$7:$AY$9</c:f>
              <c:strCache>
                <c:ptCount val="3"/>
                <c:pt idx="0">
                  <c:v>Green</c:v>
                </c:pt>
                <c:pt idx="1">
                  <c:v>Amber</c:v>
                </c:pt>
                <c:pt idx="2">
                  <c:v>Red</c:v>
                </c:pt>
              </c:strCache>
            </c:strRef>
          </c:cat>
          <c:val>
            <c:numRef>
              <c:f>'4. CHARTS BY PRIORITY'!$BA$7:$BA$9</c:f>
              <c:numCache>
                <c:formatCode>0.00%</c:formatCode>
                <c:ptCount val="3"/>
                <c:pt idx="0">
                  <c:v>0.99038461538461542</c:v>
                </c:pt>
                <c:pt idx="1">
                  <c:v>0</c:v>
                </c:pt>
                <c:pt idx="2">
                  <c:v>9.6153846153846159E-3</c:v>
                </c:pt>
              </c:numCache>
            </c:numRef>
          </c:val>
          <c:extLst xmlns:c16r2="http://schemas.microsoft.com/office/drawing/2015/06/chart">
            <c:ext xmlns:c16="http://schemas.microsoft.com/office/drawing/2014/chart" uri="{C3380CC4-5D6E-409C-BE32-E72D297353CC}">
              <c16:uniqueId val="{00000003-5191-4694-B510-D0DD546A4D52}"/>
            </c:ext>
          </c:extLst>
        </c:ser>
        <c:dLbls>
          <c:showLegendKey val="0"/>
          <c:showVal val="0"/>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26" Type="http://schemas.openxmlformats.org/officeDocument/2006/relationships/chart" Target="../charts/chart46.xml"/><Relationship Id="rId3" Type="http://schemas.openxmlformats.org/officeDocument/2006/relationships/chart" Target="../charts/chart23.xml"/><Relationship Id="rId21" Type="http://schemas.openxmlformats.org/officeDocument/2006/relationships/chart" Target="../charts/chart41.xml"/><Relationship Id="rId34" Type="http://schemas.openxmlformats.org/officeDocument/2006/relationships/chart" Target="../charts/chart54.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5" Type="http://schemas.openxmlformats.org/officeDocument/2006/relationships/chart" Target="../charts/chart45.xml"/><Relationship Id="rId33" Type="http://schemas.openxmlformats.org/officeDocument/2006/relationships/chart" Target="../charts/chart53.xml"/><Relationship Id="rId2" Type="http://schemas.openxmlformats.org/officeDocument/2006/relationships/chart" Target="../charts/chart22.xml"/><Relationship Id="rId16" Type="http://schemas.openxmlformats.org/officeDocument/2006/relationships/chart" Target="../charts/chart36.xml"/><Relationship Id="rId20" Type="http://schemas.openxmlformats.org/officeDocument/2006/relationships/chart" Target="../charts/chart40.xml"/><Relationship Id="rId29" Type="http://schemas.openxmlformats.org/officeDocument/2006/relationships/chart" Target="../charts/chart49.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24" Type="http://schemas.openxmlformats.org/officeDocument/2006/relationships/chart" Target="../charts/chart44.xml"/><Relationship Id="rId32" Type="http://schemas.openxmlformats.org/officeDocument/2006/relationships/chart" Target="../charts/chart52.xml"/><Relationship Id="rId5" Type="http://schemas.openxmlformats.org/officeDocument/2006/relationships/chart" Target="../charts/chart25.xml"/><Relationship Id="rId15" Type="http://schemas.openxmlformats.org/officeDocument/2006/relationships/chart" Target="../charts/chart35.xml"/><Relationship Id="rId23" Type="http://schemas.openxmlformats.org/officeDocument/2006/relationships/chart" Target="../charts/chart43.xml"/><Relationship Id="rId28" Type="http://schemas.openxmlformats.org/officeDocument/2006/relationships/chart" Target="../charts/chart48.xml"/><Relationship Id="rId10" Type="http://schemas.openxmlformats.org/officeDocument/2006/relationships/chart" Target="../charts/chart30.xml"/><Relationship Id="rId19" Type="http://schemas.openxmlformats.org/officeDocument/2006/relationships/chart" Target="../charts/chart39.xml"/><Relationship Id="rId31" Type="http://schemas.openxmlformats.org/officeDocument/2006/relationships/chart" Target="../charts/chart51.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 Id="rId22" Type="http://schemas.openxmlformats.org/officeDocument/2006/relationships/chart" Target="../charts/chart42.xml"/><Relationship Id="rId27" Type="http://schemas.openxmlformats.org/officeDocument/2006/relationships/chart" Target="../charts/chart47.xml"/><Relationship Id="rId30" Type="http://schemas.openxmlformats.org/officeDocument/2006/relationships/chart" Target="../charts/chart50.xml"/><Relationship Id="rId35" Type="http://schemas.openxmlformats.org/officeDocument/2006/relationships/chart" Target="../charts/chart55.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56028</xdr:colOff>
      <xdr:row>0</xdr:row>
      <xdr:rowOff>0</xdr:rowOff>
    </xdr:from>
    <xdr:to>
      <xdr:col>8</xdr:col>
      <xdr:colOff>918881</xdr:colOff>
      <xdr:row>0</xdr:row>
      <xdr:rowOff>494985</xdr:rowOff>
    </xdr:to>
    <xdr:pic>
      <xdr:nvPicPr>
        <xdr:cNvPr id="2" name="Picture 1" descr="ESBC Colour JPG small .jpg"/>
        <xdr:cNvPicPr>
          <a:picLocks noChangeAspect="1"/>
        </xdr:cNvPicPr>
      </xdr:nvPicPr>
      <xdr:blipFill>
        <a:blip xmlns:r="http://schemas.openxmlformats.org/officeDocument/2006/relationships" r:embed="rId1" cstate="print"/>
        <a:stretch>
          <a:fillRect/>
        </a:stretch>
      </xdr:blipFill>
      <xdr:spPr>
        <a:xfrm>
          <a:off x="13435852" y="0"/>
          <a:ext cx="862853" cy="494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67</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40821</xdr:colOff>
      <xdr:row>20</xdr:row>
      <xdr:rowOff>0</xdr:rowOff>
    </xdr:from>
    <xdr:to>
      <xdr:col>36</xdr:col>
      <xdr:colOff>23812</xdr:colOff>
      <xdr:row>34</xdr:row>
      <xdr:rowOff>178594</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66</xdr:row>
      <xdr:rowOff>190499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0</xdr:colOff>
      <xdr:row>20</xdr:row>
      <xdr:rowOff>0</xdr:rowOff>
    </xdr:from>
    <xdr:to>
      <xdr:col>35</xdr:col>
      <xdr:colOff>595312</xdr:colOff>
      <xdr:row>34</xdr:row>
      <xdr:rowOff>178594</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180975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84</xdr:row>
      <xdr:rowOff>0</xdr:rowOff>
    </xdr:from>
    <xdr:to>
      <xdr:col>8</xdr:col>
      <xdr:colOff>600074</xdr:colOff>
      <xdr:row>98</xdr:row>
      <xdr:rowOff>180975</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0</xdr:colOff>
      <xdr:row>84</xdr:row>
      <xdr:rowOff>0</xdr:rowOff>
    </xdr:from>
    <xdr:to>
      <xdr:col>18</xdr:col>
      <xdr:colOff>0</xdr:colOff>
      <xdr:row>98</xdr:row>
      <xdr:rowOff>180975</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19</xdr:col>
      <xdr:colOff>0</xdr:colOff>
      <xdr:row>84</xdr:row>
      <xdr:rowOff>0</xdr:rowOff>
    </xdr:from>
    <xdr:to>
      <xdr:col>27</xdr:col>
      <xdr:colOff>0</xdr:colOff>
      <xdr:row>98</xdr:row>
      <xdr:rowOff>180975</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28</xdr:col>
      <xdr:colOff>0</xdr:colOff>
      <xdr:row>84</xdr:row>
      <xdr:rowOff>0</xdr:rowOff>
    </xdr:from>
    <xdr:to>
      <xdr:col>36</xdr:col>
      <xdr:colOff>0</xdr:colOff>
      <xdr:row>98</xdr:row>
      <xdr:rowOff>180975</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37</xdr:col>
      <xdr:colOff>0</xdr:colOff>
      <xdr:row>84</xdr:row>
      <xdr:rowOff>0</xdr:rowOff>
    </xdr:from>
    <xdr:to>
      <xdr:col>45</xdr:col>
      <xdr:colOff>0</xdr:colOff>
      <xdr:row>98</xdr:row>
      <xdr:rowOff>180975</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100</xdr:row>
      <xdr:rowOff>0</xdr:rowOff>
    </xdr:from>
    <xdr:to>
      <xdr:col>8</xdr:col>
      <xdr:colOff>600074</xdr:colOff>
      <xdr:row>114</xdr:row>
      <xdr:rowOff>180975</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10</xdr:col>
      <xdr:colOff>0</xdr:colOff>
      <xdr:row>100</xdr:row>
      <xdr:rowOff>0</xdr:rowOff>
    </xdr:from>
    <xdr:to>
      <xdr:col>18</xdr:col>
      <xdr:colOff>0</xdr:colOff>
      <xdr:row>114</xdr:row>
      <xdr:rowOff>180975</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19</xdr:col>
      <xdr:colOff>0</xdr:colOff>
      <xdr:row>100</xdr:row>
      <xdr:rowOff>0</xdr:rowOff>
    </xdr:from>
    <xdr:to>
      <xdr:col>27</xdr:col>
      <xdr:colOff>0</xdr:colOff>
      <xdr:row>114</xdr:row>
      <xdr:rowOff>180975</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28</xdr:col>
      <xdr:colOff>0</xdr:colOff>
      <xdr:row>100</xdr:row>
      <xdr:rowOff>0</xdr:rowOff>
    </xdr:from>
    <xdr:to>
      <xdr:col>36</xdr:col>
      <xdr:colOff>0</xdr:colOff>
      <xdr:row>114</xdr:row>
      <xdr:rowOff>180975</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37</xdr:col>
      <xdr:colOff>0</xdr:colOff>
      <xdr:row>100</xdr:row>
      <xdr:rowOff>0</xdr:rowOff>
    </xdr:from>
    <xdr:to>
      <xdr:col>45</xdr:col>
      <xdr:colOff>0</xdr:colOff>
      <xdr:row>114</xdr:row>
      <xdr:rowOff>180975</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547591</xdr:colOff>
      <xdr:row>3</xdr:row>
      <xdr:rowOff>19049</xdr:rowOff>
    </xdr:from>
    <xdr:to>
      <xdr:col>3</xdr:col>
      <xdr:colOff>832959</xdr:colOff>
      <xdr:row>3</xdr:row>
      <xdr:rowOff>247650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462366" y="628649"/>
          <a:ext cx="285368" cy="228601"/>
        </a:xfrm>
        <a:prstGeom prst="rect">
          <a:avLst/>
        </a:prstGeom>
        <a:noFill/>
        <a:ln w="1">
          <a:noFill/>
          <a:miter lim="800000"/>
          <a:headEnd/>
          <a:tailEnd type="none" w="med" len="med"/>
        </a:ln>
        <a:effec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ames Abbott" refreshedDate="42908.624456597223" createdVersion="3" refreshedVersion="5" minRefreshableVersion="3" recordCount="119">
  <cacheSource type="worksheet">
    <worksheetSource ref="H3:Y122" sheet="1. ALL DATA"/>
  </cacheSource>
  <cacheFields count="18">
    <cacheField name="Quarter 1 On Track? (R/A/G)" numFmtId="0">
      <sharedItems containsBlank="1"/>
    </cacheField>
    <cacheField name="Comments / Further action (Q1)_x000a_(IF APPLICABLE)" numFmtId="0">
      <sharedItems containsNonDate="0" containsString="0" containsBlank="1"/>
    </cacheField>
    <cacheField name="Quarter 2 _x000a_(July - Sept 2017)" numFmtId="0">
      <sharedItems containsNonDate="0" containsString="0" containsBlank="1"/>
    </cacheField>
    <cacheField name="Year to Date_x000a_(April - Sept 2017)_x000a_(NUMERICAL INDICATORS ONLY)" numFmtId="0">
      <sharedItems containsNonDate="0" containsString="0" containsBlank="1"/>
    </cacheField>
    <cacheField name="End of year forecast as at end of Q2_x000a_(NUMERICAL INDICATORS ONLY)" numFmtId="0">
      <sharedItems containsNonDate="0" containsString="0" containsBlank="1"/>
    </cacheField>
    <cacheField name="Quarter 2 On track? (R/A/G)" numFmtId="0">
      <sharedItems containsBlank="1"/>
    </cacheField>
    <cacheField name="Comments / Further action (Q2)_x000a_(IF APPLICABLE)" numFmtId="0">
      <sharedItems containsNonDate="0" containsString="0" containsBlank="1"/>
    </cacheField>
    <cacheField name="Quarter 3 _x000a_(Oct - Dec 2017)" numFmtId="0">
      <sharedItems containsNonDate="0" containsString="0" containsBlank="1"/>
    </cacheField>
    <cacheField name="Year to Date_x000a_(April - Dec 2017)_x000a_(NUMERICAL INDICATORS ONLY)" numFmtId="0">
      <sharedItems containsNonDate="0" containsString="0" containsBlank="1"/>
    </cacheField>
    <cacheField name="End of year forecast as at end of Q3_x000a_(NUMERICAL INDICATORS ONLY)" numFmtId="0">
      <sharedItems containsNonDate="0" containsString="0" containsBlank="1"/>
    </cacheField>
    <cacheField name="Quarter 3 On track? (R/A/G)" numFmtId="0">
      <sharedItems containsBlank="1" count="9">
        <m/>
        <s v="Update not Provided"/>
        <s v="Off Target" u="1"/>
        <s v="Deleted" u="1"/>
        <s v="Not yet due" u="1"/>
        <s v="Deferred" u="1"/>
        <s v="Fully Achieved" u="1"/>
        <s v="On Track to be Achieved" u="1"/>
        <s v="In Danger of Falling Behind Target" u="1"/>
      </sharedItems>
    </cacheField>
    <cacheField name="Comments / Further action (Q3)_x000a_(IF APPLICABLE)" numFmtId="0">
      <sharedItems containsNonDate="0" containsString="0" containsBlank="1"/>
    </cacheField>
    <cacheField name="Quarter 4 _x000a_(Jan - March 2018)" numFmtId="0">
      <sharedItems containsNonDate="0" containsString="0" containsBlank="1"/>
    </cacheField>
    <cacheField name="Cumulative Annual Outturn_x000a_(April 2017 - March 2018)_x000a_(NUMERICAL INDICATORS ONLY)" numFmtId="0">
      <sharedItems containsNonDate="0" containsString="0" containsBlank="1"/>
    </cacheField>
    <cacheField name="End of Year Achieved? (R/A/G)" numFmtId="0">
      <sharedItems containsBlank="1"/>
    </cacheField>
    <cacheField name="Comments / Further action (Q4)_x000a_(IF APPLICABLE)" numFmtId="0">
      <sharedItems containsNonDate="0" containsString="0" containsBlank="1"/>
    </cacheField>
    <cacheField name="Priority" numFmtId="0">
      <sharedItems containsBlank="1"/>
    </cacheField>
    <cacheField name="Portfolio" numFmtId="0">
      <sharedItems containsBlank="1" count="12">
        <m/>
        <s v="CULTURAL SERVICES"/>
        <s v="ENVIRONMENT"/>
        <s v="LEADER OF THE COUNCIL"/>
        <s v="PLANNING"/>
        <s v="TOWN CENTRE AND NEIGHBOURHOODS"/>
        <s v="REGULATORY SERVICES"/>
        <s v="ENTERPRISE"/>
        <s v="Enterprise and Environment" u="1"/>
        <s v="Planning and Neighbourhoods" u="1"/>
        <s v="Finance" u="1"/>
        <s v="Programmes and Transformation"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9">
  <r>
    <m/>
    <m/>
    <m/>
    <m/>
    <m/>
    <m/>
    <m/>
    <m/>
    <m/>
    <m/>
    <x v="0"/>
    <m/>
    <m/>
    <m/>
    <m/>
    <m/>
    <m/>
    <x v="0"/>
  </r>
  <r>
    <s v="Update not Provided"/>
    <m/>
    <m/>
    <m/>
    <m/>
    <s v="Update not Provided"/>
    <m/>
    <m/>
    <m/>
    <m/>
    <x v="1"/>
    <m/>
    <m/>
    <m/>
    <s v="Update not Provided"/>
    <m/>
    <s v="VALUE FOR MONEY COUNCIL SERVICES"/>
    <x v="1"/>
  </r>
  <r>
    <s v="Update not Provided"/>
    <m/>
    <m/>
    <m/>
    <m/>
    <s v="Update not Provided"/>
    <m/>
    <m/>
    <m/>
    <m/>
    <x v="1"/>
    <m/>
    <m/>
    <m/>
    <s v="Update not Provided"/>
    <m/>
    <s v="VALUE FOR MONEY COUNCIL SERVICES"/>
    <x v="1"/>
  </r>
  <r>
    <s v="Update not Provided"/>
    <m/>
    <m/>
    <m/>
    <m/>
    <s v="Update not Provided"/>
    <m/>
    <m/>
    <m/>
    <m/>
    <x v="1"/>
    <m/>
    <m/>
    <m/>
    <s v="Update not Provided"/>
    <m/>
    <s v="VALUE FOR MONEY COUNCIL SERVICES"/>
    <x v="1"/>
  </r>
  <r>
    <s v="Update not Provided"/>
    <m/>
    <m/>
    <m/>
    <m/>
    <s v="Update not Provided"/>
    <m/>
    <m/>
    <m/>
    <m/>
    <x v="1"/>
    <m/>
    <m/>
    <m/>
    <s v="Update not Provided"/>
    <m/>
    <s v="VALUE FOR MONEY COUNCIL SERVICES"/>
    <x v="1"/>
  </r>
  <r>
    <s v="Update not Provided"/>
    <m/>
    <m/>
    <m/>
    <m/>
    <s v="Update not Provided"/>
    <m/>
    <m/>
    <m/>
    <m/>
    <x v="1"/>
    <m/>
    <m/>
    <m/>
    <s v="Update not Provided"/>
    <m/>
    <s v="VALUE FOR MONEY COUNCIL SERVICES"/>
    <x v="1"/>
  </r>
  <r>
    <s v="Update not Provided"/>
    <m/>
    <m/>
    <m/>
    <m/>
    <s v="Update not Provided"/>
    <m/>
    <m/>
    <m/>
    <m/>
    <x v="1"/>
    <m/>
    <m/>
    <m/>
    <s v="Update not Provided"/>
    <m/>
    <s v="VALUE FOR MONEY COUNCIL SERVICES"/>
    <x v="1"/>
  </r>
  <r>
    <s v="Update not Provided"/>
    <m/>
    <m/>
    <m/>
    <m/>
    <s v="Update not Provided"/>
    <m/>
    <m/>
    <m/>
    <m/>
    <x v="1"/>
    <m/>
    <m/>
    <m/>
    <s v="Update not Provided"/>
    <m/>
    <s v="VALUE FOR MONEY COUNCIL SERVICES"/>
    <x v="1"/>
  </r>
  <r>
    <s v="Update not Provided"/>
    <m/>
    <m/>
    <m/>
    <m/>
    <s v="Update not Provided"/>
    <m/>
    <m/>
    <m/>
    <m/>
    <x v="1"/>
    <m/>
    <m/>
    <m/>
    <s v="Update not Provided"/>
    <m/>
    <s v="VALUE FOR MONEY COUNCIL SERVICES"/>
    <x v="1"/>
  </r>
  <r>
    <s v="Update not Provided"/>
    <m/>
    <m/>
    <m/>
    <m/>
    <s v="Update not Provided"/>
    <m/>
    <m/>
    <m/>
    <m/>
    <x v="1"/>
    <m/>
    <m/>
    <m/>
    <s v="Update not Provided"/>
    <m/>
    <s v="VALUE FOR MONEY COUNCIL SERVICES"/>
    <x v="1"/>
  </r>
  <r>
    <s v="Update not Provided"/>
    <m/>
    <m/>
    <m/>
    <m/>
    <s v="Update not Provided"/>
    <m/>
    <m/>
    <m/>
    <m/>
    <x v="1"/>
    <m/>
    <m/>
    <m/>
    <s v="Update not Provided"/>
    <m/>
    <s v="VALUE FOR MONEY COUNCIL SERVICES"/>
    <x v="2"/>
  </r>
  <r>
    <s v="Update not Provided"/>
    <m/>
    <m/>
    <m/>
    <m/>
    <s v="Update not Provided"/>
    <m/>
    <m/>
    <m/>
    <m/>
    <x v="1"/>
    <m/>
    <m/>
    <m/>
    <s v="Update not Provided"/>
    <m/>
    <s v="VALUE FOR MONEY COUNCIL SERVICES"/>
    <x v="2"/>
  </r>
  <r>
    <s v="Update not Provided"/>
    <m/>
    <m/>
    <m/>
    <m/>
    <s v="Update not Provided"/>
    <m/>
    <m/>
    <m/>
    <m/>
    <x v="1"/>
    <m/>
    <m/>
    <m/>
    <s v="Update not Provided"/>
    <m/>
    <s v="VALUE FOR MONEY COUNCIL SERVICES"/>
    <x v="2"/>
  </r>
  <r>
    <s v="Update not Provided"/>
    <m/>
    <m/>
    <m/>
    <m/>
    <s v="Update not Provided"/>
    <m/>
    <m/>
    <m/>
    <m/>
    <x v="1"/>
    <m/>
    <m/>
    <m/>
    <s v="Update not Provided"/>
    <m/>
    <s v="VALUE FOR MONEY COUNCIL SERVICES"/>
    <x v="2"/>
  </r>
  <r>
    <s v="Update not Provided"/>
    <m/>
    <m/>
    <m/>
    <m/>
    <s v="Update not Provided"/>
    <m/>
    <m/>
    <m/>
    <m/>
    <x v="1"/>
    <m/>
    <m/>
    <m/>
    <s v="Update not Provided"/>
    <m/>
    <s v="VALUE FOR MONEY COUNCIL SERVICES"/>
    <x v="2"/>
  </r>
  <r>
    <s v="Update not Provided"/>
    <m/>
    <m/>
    <m/>
    <m/>
    <s v="Update not Provided"/>
    <m/>
    <m/>
    <m/>
    <m/>
    <x v="1"/>
    <m/>
    <m/>
    <m/>
    <s v="Update not Provided"/>
    <m/>
    <s v="VALUE FOR MONEY COUNCIL SERVICES"/>
    <x v="2"/>
  </r>
  <r>
    <s v="Update not Provided"/>
    <m/>
    <m/>
    <m/>
    <m/>
    <s v="Update not Provided"/>
    <m/>
    <m/>
    <m/>
    <m/>
    <x v="1"/>
    <m/>
    <m/>
    <m/>
    <s v="Update not Provided"/>
    <m/>
    <s v="VALUE FOR MONEY COUNCIL SERVICES"/>
    <x v="2"/>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4"/>
  </r>
  <r>
    <s v="Update not Provided"/>
    <m/>
    <m/>
    <m/>
    <m/>
    <s v="Update not Provided"/>
    <m/>
    <m/>
    <m/>
    <m/>
    <x v="1"/>
    <m/>
    <m/>
    <m/>
    <s v="Update not Provided"/>
    <m/>
    <s v="VALUE FOR MONEY COUNCIL SERVICES"/>
    <x v="4"/>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5"/>
  </r>
  <r>
    <s v="Update not Provided"/>
    <m/>
    <m/>
    <m/>
    <m/>
    <s v="Update not Provided"/>
    <m/>
    <m/>
    <m/>
    <m/>
    <x v="1"/>
    <m/>
    <m/>
    <m/>
    <s v="Update not Provided"/>
    <m/>
    <s v="VALUE FOR MONEY COUNCIL SERVICES"/>
    <x v="5"/>
  </r>
  <r>
    <s v="Update not Provided"/>
    <m/>
    <m/>
    <m/>
    <m/>
    <s v="Update not Provided"/>
    <m/>
    <m/>
    <m/>
    <m/>
    <x v="1"/>
    <m/>
    <m/>
    <m/>
    <s v="Update not Provided"/>
    <m/>
    <s v="VALUE FOR MONEY COUNCIL SERVICES"/>
    <x v="5"/>
  </r>
  <r>
    <s v="Update not Provided"/>
    <m/>
    <m/>
    <m/>
    <m/>
    <s v="Update not Provided"/>
    <m/>
    <m/>
    <m/>
    <m/>
    <x v="1"/>
    <m/>
    <m/>
    <m/>
    <s v="Update not Provided"/>
    <m/>
    <s v="VALUE FOR MONEY COUNCIL SERVICES"/>
    <x v="5"/>
  </r>
  <r>
    <s v="Update not Provided"/>
    <m/>
    <m/>
    <m/>
    <m/>
    <s v="Update not Provided"/>
    <m/>
    <m/>
    <m/>
    <m/>
    <x v="1"/>
    <m/>
    <m/>
    <m/>
    <s v="Update not Provided"/>
    <m/>
    <s v="VALUE FOR MONEY COUNCIL SERVICES"/>
    <x v="4"/>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3"/>
  </r>
  <r>
    <s v="Update not Provided"/>
    <m/>
    <m/>
    <m/>
    <m/>
    <s v="Update not Provided"/>
    <m/>
    <m/>
    <m/>
    <m/>
    <x v="1"/>
    <m/>
    <m/>
    <m/>
    <s v="Update not Provided"/>
    <m/>
    <s v="VALUE FOR MONEY COUNCIL SERVICES"/>
    <x v="6"/>
  </r>
  <r>
    <s v="Update not Provided"/>
    <m/>
    <m/>
    <m/>
    <m/>
    <s v="Update not Provided"/>
    <m/>
    <m/>
    <m/>
    <m/>
    <x v="1"/>
    <m/>
    <m/>
    <m/>
    <s v="Update not Provided"/>
    <m/>
    <s v="VALUE FOR MONEY COUNCIL SERVICES"/>
    <x v="6"/>
  </r>
  <r>
    <s v="Update not Provided"/>
    <m/>
    <m/>
    <m/>
    <m/>
    <s v="Update not Provided"/>
    <m/>
    <m/>
    <m/>
    <m/>
    <x v="1"/>
    <m/>
    <m/>
    <m/>
    <s v="Update not Provided"/>
    <m/>
    <s v="VALUE FOR MONEY COUNCIL SERVICES"/>
    <x v="6"/>
  </r>
  <r>
    <s v="Update not Provided"/>
    <m/>
    <m/>
    <m/>
    <m/>
    <s v="Update not Provided"/>
    <m/>
    <m/>
    <m/>
    <m/>
    <x v="1"/>
    <m/>
    <m/>
    <m/>
    <s v="Update not Provided"/>
    <m/>
    <s v="VALUE FOR MONEY COUNCIL SERVICES"/>
    <x v="6"/>
  </r>
  <r>
    <s v="Update not Provided"/>
    <m/>
    <m/>
    <m/>
    <m/>
    <s v="Update not Provided"/>
    <m/>
    <m/>
    <m/>
    <m/>
    <x v="1"/>
    <m/>
    <m/>
    <m/>
    <s v="Update not Provided"/>
    <m/>
    <s v="VALUE FOR MONEY COUNCIL SERVICES"/>
    <x v="6"/>
  </r>
  <r>
    <s v="Update not Provided"/>
    <m/>
    <m/>
    <m/>
    <m/>
    <s v="Update not Provided"/>
    <m/>
    <m/>
    <m/>
    <m/>
    <x v="1"/>
    <m/>
    <m/>
    <m/>
    <s v="Update not Provided"/>
    <m/>
    <s v="VALUE FOR MONEY COUNCIL SERVICES"/>
    <x v="6"/>
  </r>
  <r>
    <m/>
    <m/>
    <m/>
    <m/>
    <m/>
    <m/>
    <m/>
    <m/>
    <m/>
    <m/>
    <x v="0"/>
    <m/>
    <m/>
    <m/>
    <m/>
    <m/>
    <m/>
    <x v="0"/>
  </r>
  <r>
    <s v="Update not Provided"/>
    <m/>
    <m/>
    <m/>
    <m/>
    <s v="Update not Provided"/>
    <m/>
    <m/>
    <m/>
    <m/>
    <x v="1"/>
    <m/>
    <m/>
    <m/>
    <s v="Update not Provided"/>
    <m/>
    <s v="PROMOTING LOCAL ECONOMIC GROWTH"/>
    <x v="1"/>
  </r>
  <r>
    <s v="Update not Provided"/>
    <m/>
    <m/>
    <m/>
    <m/>
    <s v="Update not Provided"/>
    <m/>
    <m/>
    <m/>
    <m/>
    <x v="1"/>
    <m/>
    <m/>
    <m/>
    <s v="Update not Provided"/>
    <m/>
    <s v="PROMOTING LOCAL ECONOMIC GROWTH"/>
    <x v="1"/>
  </r>
  <r>
    <s v="Update not Provided"/>
    <m/>
    <m/>
    <m/>
    <m/>
    <s v="Update not Provided"/>
    <m/>
    <m/>
    <m/>
    <m/>
    <x v="1"/>
    <m/>
    <m/>
    <m/>
    <s v="Update not Provided"/>
    <m/>
    <s v="PROMOTING LOCAL ECONOMIC GROWTH"/>
    <x v="1"/>
  </r>
  <r>
    <s v="Update not Provided"/>
    <m/>
    <m/>
    <m/>
    <m/>
    <s v="Update not Provided"/>
    <m/>
    <m/>
    <m/>
    <m/>
    <x v="1"/>
    <m/>
    <m/>
    <m/>
    <s v="Update not Provided"/>
    <m/>
    <s v="PROMOTING LOCAL ECONOMIC GROWTH"/>
    <x v="1"/>
  </r>
  <r>
    <s v="Update not Provided"/>
    <m/>
    <m/>
    <m/>
    <m/>
    <s v="Update not Provided"/>
    <m/>
    <m/>
    <m/>
    <m/>
    <x v="1"/>
    <m/>
    <m/>
    <m/>
    <s v="Update not Provided"/>
    <m/>
    <s v="PROMOTING LOCAL ECONOMIC GROWTH"/>
    <x v="7"/>
  </r>
  <r>
    <s v="Update not Provided"/>
    <m/>
    <m/>
    <m/>
    <m/>
    <s v="Update not Provided"/>
    <m/>
    <m/>
    <m/>
    <m/>
    <x v="1"/>
    <m/>
    <m/>
    <m/>
    <s v="Update not Provided"/>
    <m/>
    <s v="PROMOTING LOCAL ECONOMIC GROWTH"/>
    <x v="7"/>
  </r>
  <r>
    <s v="Update not Provided"/>
    <m/>
    <m/>
    <m/>
    <m/>
    <s v="Update not Provided"/>
    <m/>
    <m/>
    <m/>
    <m/>
    <x v="1"/>
    <m/>
    <m/>
    <m/>
    <s v="Update not Provided"/>
    <m/>
    <s v="PROMOTING LOCAL ECONOMIC GROWTH"/>
    <x v="7"/>
  </r>
  <r>
    <s v="Update not Provided"/>
    <m/>
    <m/>
    <m/>
    <m/>
    <s v="Update not Provided"/>
    <m/>
    <m/>
    <m/>
    <m/>
    <x v="1"/>
    <m/>
    <m/>
    <m/>
    <s v="Update not Provided"/>
    <m/>
    <s v="PROMOTING LOCAL ECONOMIC GROWTH"/>
    <x v="7"/>
  </r>
  <r>
    <s v="Update not Provided"/>
    <m/>
    <m/>
    <m/>
    <m/>
    <s v="Update not Provided"/>
    <m/>
    <m/>
    <m/>
    <m/>
    <x v="1"/>
    <m/>
    <m/>
    <m/>
    <s v="Update not Provided"/>
    <m/>
    <s v="PROMOTING LOCAL ECONOMIC GROWTH"/>
    <x v="7"/>
  </r>
  <r>
    <s v="Update not Provided"/>
    <m/>
    <m/>
    <m/>
    <m/>
    <s v="Update not Provided"/>
    <m/>
    <m/>
    <m/>
    <m/>
    <x v="1"/>
    <m/>
    <m/>
    <m/>
    <s v="Update not Provided"/>
    <m/>
    <s v="PROMOTING LOCAL ECONOMIC GROWTH"/>
    <x v="7"/>
  </r>
  <r>
    <s v="Update not Provided"/>
    <m/>
    <m/>
    <m/>
    <m/>
    <s v="Update not Provided"/>
    <m/>
    <m/>
    <m/>
    <m/>
    <x v="1"/>
    <m/>
    <m/>
    <m/>
    <s v="Update not Provided"/>
    <m/>
    <s v="PROMOTING LOCAL ECONOMIC GROWTH"/>
    <x v="7"/>
  </r>
  <r>
    <s v="Update not Provided"/>
    <m/>
    <m/>
    <m/>
    <m/>
    <s v="Update not Provided"/>
    <m/>
    <m/>
    <m/>
    <m/>
    <x v="1"/>
    <m/>
    <m/>
    <m/>
    <s v="Update not Provided"/>
    <m/>
    <s v="PROMOTING LOCAL ECONOMIC GROWTH"/>
    <x v="7"/>
  </r>
  <r>
    <s v="Update not Provided"/>
    <m/>
    <m/>
    <m/>
    <m/>
    <s v="Update not Provided"/>
    <m/>
    <m/>
    <m/>
    <m/>
    <x v="1"/>
    <m/>
    <m/>
    <m/>
    <s v="Update not Provided"/>
    <m/>
    <s v="PROMOTING LOCAL ECONOMIC GROWTH"/>
    <x v="4"/>
  </r>
  <r>
    <s v="Update not Provided"/>
    <m/>
    <m/>
    <m/>
    <m/>
    <s v="Update not Provided"/>
    <m/>
    <m/>
    <m/>
    <m/>
    <x v="1"/>
    <m/>
    <m/>
    <m/>
    <s v="Update not Provided"/>
    <m/>
    <s v="PROMOTING LOCAL ECONOMIC GROWTH"/>
    <x v="4"/>
  </r>
  <r>
    <s v="Update not Provided"/>
    <m/>
    <m/>
    <m/>
    <m/>
    <s v="Update not Provided"/>
    <m/>
    <m/>
    <m/>
    <m/>
    <x v="1"/>
    <m/>
    <m/>
    <m/>
    <s v="Update not Provided"/>
    <m/>
    <s v="PROMOTING LOCAL ECONOMIC GROWTH"/>
    <x v="4"/>
  </r>
  <r>
    <s v="Update not Provided"/>
    <m/>
    <m/>
    <m/>
    <m/>
    <s v="Update not Provided"/>
    <m/>
    <m/>
    <m/>
    <m/>
    <x v="1"/>
    <m/>
    <m/>
    <m/>
    <s v="Update not Provided"/>
    <m/>
    <s v="PROMOTING LOCAL ECONOMIC GROWTH"/>
    <x v="4"/>
  </r>
  <r>
    <s v="Update not Provided"/>
    <m/>
    <m/>
    <m/>
    <m/>
    <s v="Update not Provided"/>
    <m/>
    <m/>
    <m/>
    <m/>
    <x v="1"/>
    <m/>
    <m/>
    <m/>
    <s v="Update not Provided"/>
    <m/>
    <s v="PROMOTING LOCAL ECONOMIC GROWTH"/>
    <x v="4"/>
  </r>
  <r>
    <s v="Update not Provided"/>
    <m/>
    <m/>
    <m/>
    <m/>
    <s v="Update not Provided"/>
    <m/>
    <m/>
    <m/>
    <m/>
    <x v="1"/>
    <m/>
    <m/>
    <m/>
    <s v="Update not Provided"/>
    <m/>
    <s v="PROMOTING LOCAL ECONOMIC GROWTH"/>
    <x v="4"/>
  </r>
  <r>
    <s v="Update not Provided"/>
    <m/>
    <m/>
    <m/>
    <m/>
    <s v="Update not Provided"/>
    <m/>
    <m/>
    <m/>
    <m/>
    <x v="1"/>
    <m/>
    <m/>
    <m/>
    <s v="Update not Provided"/>
    <m/>
    <s v="PROMOTING LOCAL ECONOMIC GROWTH"/>
    <x v="4"/>
  </r>
  <r>
    <s v="Update not Provided"/>
    <m/>
    <m/>
    <m/>
    <m/>
    <s v="Update not Provided"/>
    <m/>
    <m/>
    <m/>
    <m/>
    <x v="1"/>
    <m/>
    <m/>
    <m/>
    <s v="Update not Provided"/>
    <m/>
    <s v="PROMOTING LOCAL ECONOMIC GROWTH"/>
    <x v="4"/>
  </r>
  <r>
    <s v="Update not Provided"/>
    <m/>
    <m/>
    <m/>
    <m/>
    <s v="Update not Provided"/>
    <m/>
    <m/>
    <m/>
    <m/>
    <x v="1"/>
    <m/>
    <m/>
    <m/>
    <s v="Update not Provided"/>
    <m/>
    <s v="PROMOTING LOCAL ECONOMIC GROWTH"/>
    <x v="4"/>
  </r>
  <r>
    <s v="Update not Provided"/>
    <m/>
    <m/>
    <m/>
    <m/>
    <s v="Update not Provided"/>
    <m/>
    <m/>
    <m/>
    <m/>
    <x v="1"/>
    <m/>
    <m/>
    <m/>
    <s v="Update not Provided"/>
    <m/>
    <s v="PROMOTING LOCAL ECONOMIC GROWTH"/>
    <x v="3"/>
  </r>
  <r>
    <m/>
    <m/>
    <m/>
    <m/>
    <m/>
    <m/>
    <m/>
    <m/>
    <m/>
    <m/>
    <x v="0"/>
    <m/>
    <m/>
    <m/>
    <m/>
    <m/>
    <m/>
    <x v="0"/>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1"/>
  </r>
  <r>
    <s v="Update not Provided"/>
    <m/>
    <m/>
    <m/>
    <m/>
    <s v="Update not Provided"/>
    <m/>
    <m/>
    <m/>
    <m/>
    <x v="1"/>
    <m/>
    <m/>
    <m/>
    <s v="Update not Provided"/>
    <m/>
    <s v="PROTECTING AND STRENGTHENING COMMUNITIES"/>
    <x v="2"/>
  </r>
  <r>
    <s v="Update not Provided"/>
    <m/>
    <m/>
    <m/>
    <m/>
    <s v="Update not Provided"/>
    <m/>
    <m/>
    <m/>
    <m/>
    <x v="1"/>
    <m/>
    <m/>
    <m/>
    <s v="Update not Provided"/>
    <m/>
    <s v="PROTECTING AND STRENGTHENING COMMUNITIES"/>
    <x v="2"/>
  </r>
  <r>
    <s v="Update not Provided"/>
    <m/>
    <m/>
    <m/>
    <m/>
    <s v="Update not Provided"/>
    <m/>
    <m/>
    <m/>
    <m/>
    <x v="1"/>
    <m/>
    <m/>
    <m/>
    <s v="Update not Provided"/>
    <m/>
    <s v="PROTECTING AND STRENGTHENING COMMUNITIES"/>
    <x v="2"/>
  </r>
  <r>
    <s v="Update not Provided"/>
    <m/>
    <m/>
    <m/>
    <m/>
    <s v="Update not Provided"/>
    <m/>
    <m/>
    <m/>
    <m/>
    <x v="1"/>
    <m/>
    <m/>
    <m/>
    <s v="Update not Provided"/>
    <m/>
    <s v="PROTECTING AND STRENGTHENING COMMUNITIES"/>
    <x v="2"/>
  </r>
  <r>
    <s v="Update not Provided"/>
    <m/>
    <m/>
    <m/>
    <m/>
    <s v="Update not Provided"/>
    <m/>
    <m/>
    <m/>
    <m/>
    <x v="1"/>
    <m/>
    <m/>
    <m/>
    <s v="Update not Provided"/>
    <m/>
    <s v="PROTECTING AND STRENGTHENING COMMUNITIES"/>
    <x v="2"/>
  </r>
  <r>
    <s v="Update not Provided"/>
    <m/>
    <m/>
    <m/>
    <m/>
    <s v="Update not Provided"/>
    <m/>
    <m/>
    <m/>
    <m/>
    <x v="1"/>
    <m/>
    <m/>
    <m/>
    <s v="Update not Provided"/>
    <m/>
    <s v="PROTECTING AND STRENGTHENING COMMUNITIES"/>
    <x v="2"/>
  </r>
  <r>
    <s v="Update not Provided"/>
    <m/>
    <m/>
    <m/>
    <m/>
    <s v="Update not Provided"/>
    <m/>
    <m/>
    <m/>
    <m/>
    <x v="1"/>
    <m/>
    <m/>
    <m/>
    <s v="Update not Provided"/>
    <m/>
    <s v="PROTECTING AND STRENGTHENING COMMUNITIES"/>
    <x v="2"/>
  </r>
  <r>
    <s v="Update not Provided"/>
    <m/>
    <m/>
    <m/>
    <m/>
    <s v="Update not Provided"/>
    <m/>
    <m/>
    <m/>
    <m/>
    <x v="1"/>
    <m/>
    <m/>
    <m/>
    <s v="Update not Provided"/>
    <m/>
    <s v="PROTECTING AND STRENGTHENING COMMUNITIES"/>
    <x v="7"/>
  </r>
  <r>
    <s v="Update not Provided"/>
    <m/>
    <m/>
    <m/>
    <m/>
    <s v="Update not Provided"/>
    <m/>
    <m/>
    <m/>
    <m/>
    <x v="1"/>
    <m/>
    <m/>
    <m/>
    <s v="Update not Provided"/>
    <m/>
    <s v="PROTECTING AND STRENGTHENING COMMUNITIES"/>
    <x v="7"/>
  </r>
  <r>
    <s v="Update not Provided"/>
    <m/>
    <m/>
    <m/>
    <m/>
    <s v="Update not Provided"/>
    <m/>
    <m/>
    <m/>
    <m/>
    <x v="1"/>
    <m/>
    <m/>
    <m/>
    <s v="Update not Provided"/>
    <m/>
    <s v="PROTECTING AND STRENGTHENING COMMUNITIES"/>
    <x v="7"/>
  </r>
  <r>
    <s v="Update not Provided"/>
    <m/>
    <m/>
    <m/>
    <m/>
    <s v="Update not Provided"/>
    <m/>
    <m/>
    <m/>
    <m/>
    <x v="1"/>
    <m/>
    <m/>
    <m/>
    <s v="Update not Provided"/>
    <m/>
    <s v="PROTECTING AND STRENGTHENING COMMUNITIES"/>
    <x v="7"/>
  </r>
  <r>
    <s v="Update not Provided"/>
    <m/>
    <m/>
    <m/>
    <m/>
    <s v="Update not Provided"/>
    <m/>
    <m/>
    <m/>
    <m/>
    <x v="1"/>
    <m/>
    <m/>
    <m/>
    <s v="Update not Provided"/>
    <m/>
    <s v="PROTECTING AND STRENGTHENING COMMUNITIES"/>
    <x v="7"/>
  </r>
  <r>
    <s v="Update not Provided"/>
    <m/>
    <m/>
    <m/>
    <m/>
    <s v="Update not Provided"/>
    <m/>
    <m/>
    <m/>
    <m/>
    <x v="1"/>
    <m/>
    <m/>
    <m/>
    <s v="Update not Provided"/>
    <m/>
    <s v="PROTECTING AND STRENGTHENING COMMUNITIES"/>
    <x v="7"/>
  </r>
  <r>
    <s v="Update not Provided"/>
    <m/>
    <m/>
    <m/>
    <m/>
    <s v="Update not Provided"/>
    <m/>
    <m/>
    <m/>
    <m/>
    <x v="1"/>
    <m/>
    <m/>
    <m/>
    <s v="Update not Provided"/>
    <m/>
    <s v="PROTECTING AND STRENGTHENING COMMUNITIES"/>
    <x v="3"/>
  </r>
  <r>
    <s v="Update not Provided"/>
    <m/>
    <m/>
    <m/>
    <m/>
    <s v="Update not Provided"/>
    <m/>
    <m/>
    <m/>
    <m/>
    <x v="1"/>
    <m/>
    <m/>
    <m/>
    <s v="Update not Provided"/>
    <m/>
    <s v="PROTECTING AND STRENGTHENING COMMUNITIES"/>
    <x v="4"/>
  </r>
  <r>
    <s v="Update not Provided"/>
    <m/>
    <m/>
    <m/>
    <m/>
    <s v="Update not Provided"/>
    <m/>
    <m/>
    <m/>
    <m/>
    <x v="1"/>
    <m/>
    <m/>
    <m/>
    <s v="Update not Provided"/>
    <m/>
    <s v="PROTECTING AND STRENGTHENING COMMUNITIES"/>
    <x v="4"/>
  </r>
  <r>
    <s v="Update not Provided"/>
    <m/>
    <m/>
    <m/>
    <m/>
    <s v="Update not Provided"/>
    <m/>
    <m/>
    <m/>
    <m/>
    <x v="1"/>
    <m/>
    <m/>
    <m/>
    <s v="Update not Provided"/>
    <m/>
    <s v="PROTECTING AND STRENGTHENING COMMUNITIES"/>
    <x v="5"/>
  </r>
  <r>
    <s v="Update not Provided"/>
    <m/>
    <m/>
    <m/>
    <m/>
    <s v="Update not Provided"/>
    <m/>
    <m/>
    <m/>
    <m/>
    <x v="1"/>
    <m/>
    <m/>
    <m/>
    <s v="Update not Provided"/>
    <m/>
    <s v="PROTECTING AND STRENGTHENING COMMUNITIES"/>
    <x v="5"/>
  </r>
  <r>
    <s v="Update not Provided"/>
    <m/>
    <m/>
    <m/>
    <m/>
    <s v="Update not Provided"/>
    <m/>
    <m/>
    <m/>
    <m/>
    <x v="1"/>
    <m/>
    <m/>
    <m/>
    <s v="Update not Provided"/>
    <m/>
    <s v="PROTECTING AND STRENGTHENING COMMUNITIES"/>
    <x v="4"/>
  </r>
  <r>
    <s v="Update not Provided"/>
    <m/>
    <m/>
    <m/>
    <m/>
    <s v="Update not Provided"/>
    <m/>
    <m/>
    <m/>
    <m/>
    <x v="1"/>
    <m/>
    <m/>
    <m/>
    <s v="Update not Provided"/>
    <m/>
    <s v="PROTECTING AND STRENGTHENING COMMUNITIES"/>
    <x v="7"/>
  </r>
  <r>
    <s v="Update not Provided"/>
    <m/>
    <m/>
    <m/>
    <m/>
    <s v="Update not Provided"/>
    <m/>
    <m/>
    <m/>
    <m/>
    <x v="1"/>
    <m/>
    <m/>
    <m/>
    <s v="Update not Provided"/>
    <m/>
    <s v="PROTECTING AND STRENGTHENING COMMUNITIES"/>
    <x v="7"/>
  </r>
  <r>
    <s v="Update not Provided"/>
    <m/>
    <m/>
    <m/>
    <m/>
    <s v="Update not Provided"/>
    <m/>
    <m/>
    <m/>
    <m/>
    <x v="1"/>
    <m/>
    <m/>
    <m/>
    <s v="Update not Provided"/>
    <m/>
    <s v="PROTECTING AND STRENGTHENING COMMUNITIES"/>
    <x v="6"/>
  </r>
  <r>
    <s v="Update not Provided"/>
    <m/>
    <m/>
    <m/>
    <m/>
    <s v="Update not Provided"/>
    <m/>
    <m/>
    <m/>
    <m/>
    <x v="1"/>
    <m/>
    <m/>
    <m/>
    <s v="Update not Provided"/>
    <m/>
    <s v="PROTECTING AND STRENGTHENING COMMUNITIES"/>
    <x v="6"/>
  </r>
  <r>
    <s v="Update not Provided"/>
    <m/>
    <m/>
    <m/>
    <m/>
    <s v="Update not Provided"/>
    <m/>
    <m/>
    <m/>
    <m/>
    <x v="1"/>
    <m/>
    <m/>
    <m/>
    <s v="Update not Provided"/>
    <m/>
    <s v="PROTECTING AND STRENGTHENING COMMUNITIES"/>
    <x v="6"/>
  </r>
  <r>
    <s v="Update not Provided"/>
    <m/>
    <m/>
    <m/>
    <m/>
    <s v="Update not Provided"/>
    <m/>
    <m/>
    <m/>
    <m/>
    <x v="1"/>
    <m/>
    <m/>
    <m/>
    <s v="Update not Provided"/>
    <m/>
    <s v="PROTECTING AND STRENGTHENING COMMUNITIES"/>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showCalcMbrs="0" useAutoFormatting="1" itemPrintTitles="1" createdVersion="3" indent="0" outline="1" outlineData="1" multipleFieldFilters="0">
  <location ref="A7:B24" firstHeaderRow="1" firstDataRow="1" firstDataCol="1"/>
  <pivotFields count="18">
    <pivotField showAll="0"/>
    <pivotField showAll="0" defaultSubtotal="0"/>
    <pivotField showAll="0" defaultSubtotal="0"/>
    <pivotField showAll="0" defaultSubtotal="0"/>
    <pivotField showAll="0"/>
    <pivotField showAll="0"/>
    <pivotField showAll="0"/>
    <pivotField showAll="0" defaultSubtotal="0"/>
    <pivotField showAll="0" defaultSubtotal="0"/>
    <pivotField showAll="0" defaultSubtotal="0"/>
    <pivotField axis="axisRow" dataField="1" showAll="0">
      <items count="10">
        <item m="1" x="4"/>
        <item x="0"/>
        <item m="1" x="6"/>
        <item m="1" x="7"/>
        <item m="1" x="8"/>
        <item m="1" x="2"/>
        <item m="1" x="3"/>
        <item m="1" x="5"/>
        <item x="1"/>
        <item t="default"/>
      </items>
    </pivotField>
    <pivotField showAll="0" defaultSubtotal="0"/>
    <pivotField showAll="0" defaultSubtotal="0"/>
    <pivotField showAll="0" defaultSubtotal="0"/>
    <pivotField showAll="0"/>
    <pivotField showAll="0" defaultSubtotal="0"/>
    <pivotField showAll="0"/>
    <pivotField axis="axisRow" showAll="0">
      <items count="13">
        <item x="1"/>
        <item m="1" x="8"/>
        <item m="1" x="10"/>
        <item x="3"/>
        <item m="1" x="9"/>
        <item x="6"/>
        <item x="0"/>
        <item m="1" x="11"/>
        <item x="2"/>
        <item x="4"/>
        <item x="5"/>
        <item x="7"/>
        <item t="default"/>
      </items>
    </pivotField>
  </pivotFields>
  <rowFields count="2">
    <field x="17"/>
    <field x="10"/>
  </rowFields>
  <rowItems count="17">
    <i>
      <x/>
    </i>
    <i r="1">
      <x v="8"/>
    </i>
    <i>
      <x v="3"/>
    </i>
    <i r="1">
      <x v="8"/>
    </i>
    <i>
      <x v="5"/>
    </i>
    <i r="1">
      <x v="8"/>
    </i>
    <i>
      <x v="6"/>
    </i>
    <i r="1">
      <x v="1"/>
    </i>
    <i>
      <x v="8"/>
    </i>
    <i r="1">
      <x v="8"/>
    </i>
    <i>
      <x v="9"/>
    </i>
    <i r="1">
      <x v="8"/>
    </i>
    <i>
      <x v="10"/>
    </i>
    <i r="1">
      <x v="8"/>
    </i>
    <i>
      <x v="11"/>
    </i>
    <i r="1">
      <x v="8"/>
    </i>
    <i t="grand">
      <x/>
    </i>
  </rowItems>
  <colItems count="1">
    <i/>
  </colItems>
  <dataFields count="1">
    <dataField name="Count of Quarter 3 On track? (R/A/G)" fld="10"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I43"/>
  <sheetViews>
    <sheetView topLeftCell="A5" zoomScale="70" zoomScaleNormal="70" workbookViewId="0"/>
  </sheetViews>
  <sheetFormatPr defaultColWidth="9.140625" defaultRowHeight="12.75"/>
  <cols>
    <col min="1" max="1" width="30" style="16" customWidth="1"/>
    <col min="2" max="2" width="26.5703125" style="16" customWidth="1"/>
    <col min="3" max="4" width="25.5703125" style="16" customWidth="1"/>
    <col min="5" max="5" width="16.7109375" style="16" customWidth="1"/>
    <col min="6" max="6" width="28.28515625" style="16" customWidth="1"/>
    <col min="7" max="8" width="25.5703125" style="16" customWidth="1"/>
    <col min="9" max="9" width="20.28515625" style="16" bestFit="1" customWidth="1"/>
    <col min="10" max="16384" width="9.140625" style="16"/>
  </cols>
  <sheetData>
    <row r="1" spans="1:9" ht="43.5" customHeight="1" thickBot="1">
      <c r="A1" s="21" t="s">
        <v>273</v>
      </c>
      <c r="B1" s="21"/>
      <c r="C1" s="12"/>
      <c r="D1" s="12"/>
      <c r="E1" s="12"/>
      <c r="F1" s="12"/>
      <c r="G1" s="12"/>
      <c r="H1" s="12"/>
      <c r="I1" s="12"/>
    </row>
    <row r="2" spans="1:9" s="13" customFormat="1" ht="27" customHeight="1" thickTop="1" thickBot="1">
      <c r="A2" s="19" t="s">
        <v>73</v>
      </c>
      <c r="B2" s="20"/>
      <c r="C2" s="17"/>
      <c r="D2" s="17"/>
      <c r="E2" s="17"/>
      <c r="F2" s="25" t="s">
        <v>51</v>
      </c>
      <c r="G2" s="18" t="s">
        <v>229</v>
      </c>
      <c r="H2" s="18" t="s">
        <v>230</v>
      </c>
      <c r="I2" s="18" t="s">
        <v>231</v>
      </c>
    </row>
    <row r="3" spans="1:9" s="13" customFormat="1" ht="27" customHeight="1" thickTop="1" thickBot="1">
      <c r="A3" s="19" t="s">
        <v>79</v>
      </c>
      <c r="B3" s="20"/>
      <c r="C3" s="17"/>
      <c r="D3" s="17"/>
      <c r="E3" s="17"/>
      <c r="F3" s="25" t="s">
        <v>69</v>
      </c>
      <c r="G3" s="25" t="s">
        <v>70</v>
      </c>
      <c r="H3" s="25" t="s">
        <v>71</v>
      </c>
      <c r="I3" s="25" t="s">
        <v>72</v>
      </c>
    </row>
    <row r="4" spans="1:9" s="13" customFormat="1" ht="27" customHeight="1" thickTop="1" thickBot="1">
      <c r="A4" s="19" t="s">
        <v>74</v>
      </c>
      <c r="B4" s="20"/>
      <c r="C4" s="20"/>
      <c r="D4" s="20"/>
      <c r="E4" s="20"/>
      <c r="F4" s="25" t="s">
        <v>52</v>
      </c>
      <c r="G4" s="20"/>
      <c r="H4" s="20"/>
      <c r="I4" s="18"/>
    </row>
    <row r="5" spans="1:9" ht="8.25" customHeight="1" thickTop="1">
      <c r="B5" s="14"/>
      <c r="C5" s="14"/>
      <c r="D5" s="14"/>
      <c r="E5" s="14"/>
      <c r="F5" s="14"/>
      <c r="G5" s="14"/>
      <c r="H5" s="14"/>
    </row>
    <row r="6" spans="1:9" ht="8.25" customHeight="1" thickBot="1">
      <c r="B6" s="14"/>
      <c r="C6" s="15"/>
      <c r="D6" s="15"/>
      <c r="E6" s="14"/>
      <c r="F6" s="14"/>
      <c r="G6" s="15"/>
      <c r="H6" s="15"/>
    </row>
    <row r="7" spans="1:9" s="38" customFormat="1" ht="55.5" thickTop="1" thickBot="1">
      <c r="A7" s="36"/>
      <c r="B7" s="36"/>
      <c r="C7" s="39" t="s">
        <v>53</v>
      </c>
      <c r="D7" s="39" t="s">
        <v>59</v>
      </c>
      <c r="E7" s="37"/>
      <c r="F7" s="36"/>
      <c r="G7" s="40" t="s">
        <v>60</v>
      </c>
      <c r="H7" s="40" t="s">
        <v>61</v>
      </c>
    </row>
    <row r="8" spans="1:9" s="29" customFormat="1" ht="17.25" thickTop="1" thickBot="1">
      <c r="A8" s="469" t="s">
        <v>62</v>
      </c>
      <c r="B8" s="472" t="s">
        <v>54</v>
      </c>
      <c r="C8" s="27" t="s">
        <v>55</v>
      </c>
      <c r="D8" s="27" t="s">
        <v>55</v>
      </c>
      <c r="E8" s="28"/>
      <c r="F8" s="466" t="s">
        <v>77</v>
      </c>
      <c r="G8" s="27" t="s">
        <v>235</v>
      </c>
      <c r="H8" s="27" t="s">
        <v>235</v>
      </c>
    </row>
    <row r="9" spans="1:9" s="29" customFormat="1" ht="17.25" thickTop="1" thickBot="1">
      <c r="A9" s="470"/>
      <c r="B9" s="472"/>
      <c r="C9" s="27" t="s">
        <v>56</v>
      </c>
      <c r="D9" s="27" t="s">
        <v>56</v>
      </c>
      <c r="E9" s="28"/>
      <c r="F9" s="467"/>
      <c r="G9" s="27" t="s">
        <v>236</v>
      </c>
      <c r="H9" s="27" t="s">
        <v>236</v>
      </c>
    </row>
    <row r="10" spans="1:9" s="29" customFormat="1" ht="17.25" thickTop="1" thickBot="1">
      <c r="A10" s="470"/>
      <c r="B10" s="472"/>
      <c r="C10" s="27" t="s">
        <v>57</v>
      </c>
      <c r="D10" s="27" t="s">
        <v>57</v>
      </c>
      <c r="E10" s="28"/>
      <c r="F10" s="467"/>
      <c r="G10" s="27" t="s">
        <v>237</v>
      </c>
      <c r="H10" s="27" t="s">
        <v>237</v>
      </c>
    </row>
    <row r="11" spans="1:9" s="29" customFormat="1" ht="17.25" thickTop="1" thickBot="1">
      <c r="A11" s="470"/>
      <c r="B11" s="472"/>
      <c r="C11" s="27" t="s">
        <v>58</v>
      </c>
      <c r="D11" s="27" t="s">
        <v>58</v>
      </c>
      <c r="E11" s="28"/>
      <c r="F11" s="468"/>
      <c r="G11" s="27" t="s">
        <v>238</v>
      </c>
      <c r="H11" s="27" t="s">
        <v>238</v>
      </c>
    </row>
    <row r="12" spans="1:9" s="29" customFormat="1" ht="6" customHeight="1" thickTop="1" thickBot="1">
      <c r="A12" s="470"/>
      <c r="B12" s="26"/>
      <c r="C12" s="26"/>
      <c r="D12" s="26"/>
      <c r="E12" s="28"/>
      <c r="F12" s="26"/>
      <c r="G12" s="32"/>
      <c r="H12" s="32"/>
    </row>
    <row r="13" spans="1:9" s="29" customFormat="1" ht="17.25" thickTop="1" thickBot="1">
      <c r="A13" s="470"/>
      <c r="B13" s="472" t="s">
        <v>232</v>
      </c>
      <c r="C13" s="27" t="s">
        <v>55</v>
      </c>
      <c r="D13" s="27" t="s">
        <v>55</v>
      </c>
      <c r="E13" s="28"/>
      <c r="F13" s="466" t="s">
        <v>95</v>
      </c>
      <c r="G13" s="27" t="s">
        <v>235</v>
      </c>
      <c r="H13" s="27" t="s">
        <v>235</v>
      </c>
    </row>
    <row r="14" spans="1:9" s="29" customFormat="1" ht="17.25" thickTop="1" thickBot="1">
      <c r="A14" s="470"/>
      <c r="B14" s="472"/>
      <c r="C14" s="27" t="s">
        <v>56</v>
      </c>
      <c r="D14" s="27" t="s">
        <v>56</v>
      </c>
      <c r="E14" s="28"/>
      <c r="F14" s="467"/>
      <c r="G14" s="27" t="s">
        <v>236</v>
      </c>
      <c r="H14" s="27" t="s">
        <v>236</v>
      </c>
    </row>
    <row r="15" spans="1:9" s="29" customFormat="1" ht="17.25" thickTop="1" thickBot="1">
      <c r="A15" s="470"/>
      <c r="B15" s="472"/>
      <c r="C15" s="27" t="s">
        <v>57</v>
      </c>
      <c r="D15" s="27" t="s">
        <v>57</v>
      </c>
      <c r="E15" s="28"/>
      <c r="F15" s="467"/>
      <c r="G15" s="27" t="s">
        <v>237</v>
      </c>
      <c r="H15" s="27" t="s">
        <v>237</v>
      </c>
    </row>
    <row r="16" spans="1:9" s="29" customFormat="1" ht="17.25" thickTop="1" thickBot="1">
      <c r="A16" s="470"/>
      <c r="B16" s="472"/>
      <c r="C16" s="27" t="s">
        <v>58</v>
      </c>
      <c r="D16" s="27" t="s">
        <v>58</v>
      </c>
      <c r="E16" s="28"/>
      <c r="F16" s="468"/>
      <c r="G16" s="27" t="s">
        <v>238</v>
      </c>
      <c r="H16" s="27" t="s">
        <v>238</v>
      </c>
    </row>
    <row r="17" spans="1:8" s="29" customFormat="1" ht="6" customHeight="1" thickTop="1" thickBot="1">
      <c r="A17" s="470"/>
      <c r="B17" s="26"/>
      <c r="C17" s="26"/>
      <c r="D17" s="26"/>
      <c r="E17" s="28"/>
      <c r="F17" s="26"/>
      <c r="G17" s="26"/>
      <c r="H17" s="26"/>
    </row>
    <row r="18" spans="1:8" s="29" customFormat="1" ht="17.25" customHeight="1" thickTop="1" thickBot="1">
      <c r="A18" s="470"/>
      <c r="B18" s="472" t="s">
        <v>233</v>
      </c>
      <c r="C18" s="27" t="s">
        <v>55</v>
      </c>
      <c r="D18" s="27" t="s">
        <v>55</v>
      </c>
      <c r="E18" s="28"/>
      <c r="F18" s="462" t="s">
        <v>274</v>
      </c>
      <c r="G18" s="27" t="s">
        <v>235</v>
      </c>
      <c r="H18" s="27" t="s">
        <v>235</v>
      </c>
    </row>
    <row r="19" spans="1:8" s="29" customFormat="1" ht="17.25" thickTop="1" thickBot="1">
      <c r="A19" s="470"/>
      <c r="B19" s="472"/>
      <c r="C19" s="27" t="s">
        <v>56</v>
      </c>
      <c r="D19" s="27" t="s">
        <v>56</v>
      </c>
      <c r="E19" s="28"/>
      <c r="F19" s="462"/>
      <c r="G19" s="27" t="s">
        <v>236</v>
      </c>
      <c r="H19" s="27" t="s">
        <v>236</v>
      </c>
    </row>
    <row r="20" spans="1:8" s="29" customFormat="1" ht="17.25" thickTop="1" thickBot="1">
      <c r="A20" s="470"/>
      <c r="B20" s="472"/>
      <c r="C20" s="27" t="s">
        <v>57</v>
      </c>
      <c r="D20" s="27" t="s">
        <v>57</v>
      </c>
      <c r="E20" s="28"/>
      <c r="F20" s="462"/>
      <c r="G20" s="27" t="s">
        <v>237</v>
      </c>
      <c r="H20" s="27" t="s">
        <v>237</v>
      </c>
    </row>
    <row r="21" spans="1:8" s="29" customFormat="1" ht="17.25" thickTop="1" thickBot="1">
      <c r="A21" s="470"/>
      <c r="B21" s="472"/>
      <c r="C21" s="27" t="s">
        <v>58</v>
      </c>
      <c r="D21" s="27" t="s">
        <v>58</v>
      </c>
      <c r="E21" s="28"/>
      <c r="F21" s="462"/>
      <c r="G21" s="27" t="s">
        <v>238</v>
      </c>
      <c r="H21" s="27" t="s">
        <v>238</v>
      </c>
    </row>
    <row r="22" spans="1:8" s="29" customFormat="1" ht="6" customHeight="1" thickTop="1" thickBot="1">
      <c r="A22" s="470"/>
      <c r="B22" s="26"/>
      <c r="C22" s="26"/>
      <c r="D22" s="26"/>
      <c r="E22" s="28"/>
      <c r="F22" s="26"/>
      <c r="G22" s="26"/>
      <c r="H22" s="26"/>
    </row>
    <row r="23" spans="1:8" s="29" customFormat="1" ht="17.25" customHeight="1" thickTop="1" thickBot="1">
      <c r="A23" s="470"/>
      <c r="B23" s="472" t="s">
        <v>234</v>
      </c>
      <c r="C23" s="27" t="s">
        <v>55</v>
      </c>
      <c r="D23" s="27" t="s">
        <v>55</v>
      </c>
      <c r="E23" s="28"/>
      <c r="F23" s="462" t="s">
        <v>275</v>
      </c>
      <c r="G23" s="27" t="s">
        <v>235</v>
      </c>
      <c r="H23" s="27" t="s">
        <v>235</v>
      </c>
    </row>
    <row r="24" spans="1:8" s="29" customFormat="1" ht="17.25" thickTop="1" thickBot="1">
      <c r="A24" s="470"/>
      <c r="B24" s="472"/>
      <c r="C24" s="27" t="s">
        <v>56</v>
      </c>
      <c r="D24" s="27" t="s">
        <v>56</v>
      </c>
      <c r="E24" s="28"/>
      <c r="F24" s="462"/>
      <c r="G24" s="27" t="s">
        <v>236</v>
      </c>
      <c r="H24" s="27" t="s">
        <v>236</v>
      </c>
    </row>
    <row r="25" spans="1:8" s="29" customFormat="1" ht="17.25" thickTop="1" thickBot="1">
      <c r="A25" s="470"/>
      <c r="B25" s="472"/>
      <c r="C25" s="27" t="s">
        <v>57</v>
      </c>
      <c r="D25" s="27" t="s">
        <v>57</v>
      </c>
      <c r="E25" s="28"/>
      <c r="F25" s="462"/>
      <c r="G25" s="27" t="s">
        <v>237</v>
      </c>
      <c r="H25" s="27" t="s">
        <v>237</v>
      </c>
    </row>
    <row r="26" spans="1:8" s="29" customFormat="1" ht="17.25" thickTop="1" thickBot="1">
      <c r="A26" s="471"/>
      <c r="B26" s="472"/>
      <c r="C26" s="27" t="s">
        <v>58</v>
      </c>
      <c r="D26" s="27" t="s">
        <v>58</v>
      </c>
      <c r="E26" s="28"/>
      <c r="F26" s="462"/>
      <c r="G26" s="27" t="s">
        <v>238</v>
      </c>
      <c r="H26" s="27" t="s">
        <v>238</v>
      </c>
    </row>
    <row r="27" spans="1:8" ht="6" customHeight="1" thickTop="1" thickBot="1">
      <c r="A27" s="14"/>
      <c r="B27" s="14"/>
      <c r="C27" s="14"/>
      <c r="D27" s="14"/>
      <c r="E27" s="14"/>
      <c r="F27" s="26"/>
      <c r="G27" s="26"/>
      <c r="H27" s="26"/>
    </row>
    <row r="28" spans="1:8" ht="17.25" thickTop="1" thickBot="1">
      <c r="F28" s="462" t="s">
        <v>276</v>
      </c>
      <c r="G28" s="27" t="s">
        <v>235</v>
      </c>
      <c r="H28" s="27" t="s">
        <v>235</v>
      </c>
    </row>
    <row r="29" spans="1:8" ht="17.25" thickTop="1" thickBot="1">
      <c r="F29" s="462"/>
      <c r="G29" s="27" t="s">
        <v>236</v>
      </c>
      <c r="H29" s="27" t="s">
        <v>236</v>
      </c>
    </row>
    <row r="30" spans="1:8" ht="17.25" customHeight="1" thickTop="1" thickBot="1">
      <c r="A30" s="463" t="s">
        <v>250</v>
      </c>
      <c r="F30" s="462"/>
      <c r="G30" s="27" t="s">
        <v>237</v>
      </c>
      <c r="H30" s="27" t="s">
        <v>237</v>
      </c>
    </row>
    <row r="31" spans="1:8" ht="19.5" customHeight="1" thickTop="1" thickBot="1">
      <c r="A31" s="464"/>
      <c r="F31" s="462"/>
      <c r="G31" s="27" t="s">
        <v>238</v>
      </c>
      <c r="H31" s="27" t="s">
        <v>238</v>
      </c>
    </row>
    <row r="32" spans="1:8" ht="6" customHeight="1" thickTop="1" thickBot="1">
      <c r="A32" s="464"/>
      <c r="F32" s="26"/>
      <c r="G32" s="26"/>
      <c r="H32" s="26"/>
    </row>
    <row r="33" spans="1:8" ht="19.5" customHeight="1" thickTop="1" thickBot="1">
      <c r="A33" s="464"/>
      <c r="F33" s="462" t="s">
        <v>39</v>
      </c>
      <c r="G33" s="27" t="s">
        <v>235</v>
      </c>
      <c r="H33" s="27" t="s">
        <v>235</v>
      </c>
    </row>
    <row r="34" spans="1:8" ht="19.5" customHeight="1" thickTop="1" thickBot="1">
      <c r="A34" s="464"/>
      <c r="F34" s="462"/>
      <c r="G34" s="27" t="s">
        <v>236</v>
      </c>
      <c r="H34" s="27" t="s">
        <v>236</v>
      </c>
    </row>
    <row r="35" spans="1:8" ht="19.5" customHeight="1" thickTop="1" thickBot="1">
      <c r="A35" s="465"/>
      <c r="F35" s="462"/>
      <c r="G35" s="27" t="s">
        <v>237</v>
      </c>
      <c r="H35" s="27" t="s">
        <v>237</v>
      </c>
    </row>
    <row r="36" spans="1:8" ht="16.5" thickBot="1">
      <c r="F36" s="462"/>
      <c r="G36" s="27" t="s">
        <v>238</v>
      </c>
      <c r="H36" s="27" t="s">
        <v>238</v>
      </c>
    </row>
    <row r="37" spans="1:8" ht="6" customHeight="1" thickTop="1" thickBot="1">
      <c r="F37" s="26"/>
      <c r="G37" s="26"/>
      <c r="H37" s="26"/>
    </row>
    <row r="38" spans="1:8" ht="16.5" customHeight="1" thickTop="1" thickBot="1">
      <c r="F38" s="462" t="s">
        <v>278</v>
      </c>
      <c r="G38" s="27" t="s">
        <v>235</v>
      </c>
      <c r="H38" s="27" t="s">
        <v>235</v>
      </c>
    </row>
    <row r="39" spans="1:8" ht="17.25" thickTop="1" thickBot="1">
      <c r="F39" s="462"/>
      <c r="G39" s="27" t="s">
        <v>236</v>
      </c>
      <c r="H39" s="27" t="s">
        <v>236</v>
      </c>
    </row>
    <row r="40" spans="1:8" ht="17.25" thickTop="1" thickBot="1">
      <c r="F40" s="462"/>
      <c r="G40" s="27" t="s">
        <v>237</v>
      </c>
      <c r="H40" s="27" t="s">
        <v>237</v>
      </c>
    </row>
    <row r="41" spans="1:8" ht="17.25" thickTop="1" thickBot="1">
      <c r="F41" s="462"/>
      <c r="G41" s="27" t="s">
        <v>238</v>
      </c>
      <c r="H41" s="27" t="s">
        <v>238</v>
      </c>
    </row>
    <row r="42" spans="1:8" ht="13.5" customHeight="1" thickTop="1"/>
    <row r="43" spans="1:8" ht="12.75" customHeight="1"/>
  </sheetData>
  <mergeCells count="13">
    <mergeCell ref="F38:F41"/>
    <mergeCell ref="A30:A35"/>
    <mergeCell ref="F33:F36"/>
    <mergeCell ref="F8:F11"/>
    <mergeCell ref="F18:F21"/>
    <mergeCell ref="F23:F26"/>
    <mergeCell ref="F28:F31"/>
    <mergeCell ref="F13:F16"/>
    <mergeCell ref="A8:A26"/>
    <mergeCell ref="B8:B11"/>
    <mergeCell ref="B13:B16"/>
    <mergeCell ref="B18:B21"/>
    <mergeCell ref="B23:B26"/>
  </mergeCells>
  <hyperlinks>
    <hyperlink ref="C8" location="ALL_TARGETS_Q1" display="QUARTER 1"/>
    <hyperlink ref="C9" location="ALL_TARGETS_Q2" display="QUARTER 2"/>
    <hyperlink ref="C10" location="ALL_TARGETS_Q3" display="QUARTER 3"/>
    <hyperlink ref="C11" location="ALL_TARGETS_Q4" display="QUARTER 4"/>
    <hyperlink ref="C13" location="RBV_Q1" display="QUARTER 1"/>
    <hyperlink ref="C14" location="RBV_Q2" display="QUARTER 2"/>
    <hyperlink ref="C15" location="RBV_Q3" display="QUARTER 3"/>
    <hyperlink ref="C16" location="RBV_Q4" display="QUARTER 4"/>
    <hyperlink ref="C18" location="ELE_Q1" display="QUARTER 1"/>
    <hyperlink ref="C19" location="ELE_Q2" display="QUARTER 2"/>
    <hyperlink ref="C20" location="ELE_Q3" display="QUARTER 3"/>
    <hyperlink ref="C21" location="ELE_Q4" display="QUARTER 4"/>
    <hyperlink ref="C23" location="PWBQ1" display="QUARTER 1"/>
    <hyperlink ref="C24" location="ELTB_Q2" display="QUARTER 2"/>
    <hyperlink ref="C25" location="ELTB_Q3" display="QUARTER 3"/>
    <hyperlink ref="C26" location="ELTB_Q4" display="QUARTER 4"/>
    <hyperlink ref="C7" location="'3. % BY PRIORITY'!A1" display="PERCENTAGE TABLES BY PRIORITY"/>
    <hyperlink ref="D7" location="'4. CHARTS BY PRIORITY'!A1" display="CHARTS BY PRIORITY"/>
    <hyperlink ref="G7" location="'5. % BY PORTFOLIO'!A1" display="PERCENTAGE TABLES BY PORTFOLIO"/>
    <hyperlink ref="H7" location="'6. CHARTS BY PORTFOLIO'!A1" display="CHARTS BY PORTFOLIO"/>
    <hyperlink ref="D8" location="ALLQ1" display="QUARTER 1"/>
    <hyperlink ref="D9" location="ALLQ2" display="QUARTER 2"/>
    <hyperlink ref="D10" location="ALLQ3" display="QUARTER 3"/>
    <hyperlink ref="D11" location="ALLQ4" display="QUARTER 4"/>
    <hyperlink ref="F2" location="'1. ALL DATA'!A1" display="ALL DATA"/>
    <hyperlink ref="F3" location="'Q1. SUMMARY'!A1" display="Q1 SUMMARY"/>
    <hyperlink ref="F4" location="'2. STATUS TRACKING'!A1" display="STATUS TRACKING"/>
    <hyperlink ref="D13" location="RBVQ1" display="QUARTER 1"/>
    <hyperlink ref="D14" location="RBVQ2" display="QUARTER 2"/>
    <hyperlink ref="D15" location="RBVQ3" display="QUARTER 3"/>
    <hyperlink ref="D16" location="RBVQ4" display="QUARTER 4"/>
    <hyperlink ref="D18" location="ELEQ1" display="QUARTER 1"/>
    <hyperlink ref="D19" location="ELEQ2" display="QUARTER 2"/>
    <hyperlink ref="D20" location="ELE_Q3" display="QUARTER 3"/>
    <hyperlink ref="D21" location="ELEQ4" display="QUARTER 4"/>
    <hyperlink ref="D23" location="ELTBQ1" display="QUARTER 1"/>
    <hyperlink ref="D24" location="ELTBQ2" display="QUARTER 2"/>
    <hyperlink ref="D25" location="ELTBQ3" display="QUARTER 3"/>
    <hyperlink ref="D26" location="ELTBQ4" display="QUARTER 4"/>
    <hyperlink ref="G2" location="VFM_1617" display="VFM"/>
    <hyperlink ref="H2" location="PLEG_1617" display="PLEG"/>
    <hyperlink ref="I2" location="PSC_1617" display="PSC"/>
    <hyperlink ref="G3" location="'Q2. SUMMARY'!A1" display="Q2 SUMMARY"/>
    <hyperlink ref="H3" location="'Q3. SUMMARY'!A1" display="Q3 SUMMARY"/>
    <hyperlink ref="I3" location="'Q4. SUMMARY'!A1" display="Q4 SUMMARY"/>
    <hyperlink ref="G8" location="Q1_Leader" display="Quarter 1"/>
    <hyperlink ref="G9" location="Q2_Leader" display="Quarter 2"/>
    <hyperlink ref="G10" location="Q3LEADER" display="Quarter 3"/>
    <hyperlink ref="G11" location="Q4_Leader" display="Quarter 4"/>
    <hyperlink ref="G13" location="CULT1" display="Quarter 1"/>
    <hyperlink ref="G14" location="CULT2" display="Quarter 2"/>
    <hyperlink ref="G15" location="CULT3" display="Quarter 3"/>
    <hyperlink ref="G16" location="CULT4" display="Quarter 4"/>
    <hyperlink ref="G18" location="ENTER1" display="Quarter 1"/>
    <hyperlink ref="G19" location="ENTER2" display="Quarter 2"/>
    <hyperlink ref="G20" location="ENTER3" display="Quarter 3"/>
    <hyperlink ref="G21" location="ENTER4" display="Quarter 4"/>
    <hyperlink ref="G23" location="FINANCE1" display="Quarter 1"/>
    <hyperlink ref="G24" location="FINANCE2" display="Quarter 2"/>
    <hyperlink ref="G25" location="FINANCE3" display="Quarter 3"/>
    <hyperlink ref="G26" location="FINANCE4" display="Quarter 4"/>
    <hyperlink ref="G28" location="PLAN1" display="Quarter 1"/>
    <hyperlink ref="G29" location="PLAN2" display="Quarter 2"/>
    <hyperlink ref="G30" location="PLAN3" display="Quarter 3"/>
    <hyperlink ref="G31" location="PLAN4" display="Quarter 4"/>
    <hyperlink ref="G33" location="REGUL1" display="Quarter 1"/>
    <hyperlink ref="G34" location="TCN_T_Q2" display="Quarter 2"/>
    <hyperlink ref="G35" location="REGUL3" display="Quarter 3"/>
    <hyperlink ref="G36" location="REGUL4" display="Quarter 4"/>
    <hyperlink ref="H9" location="LEADER2" display="Quarter 2"/>
    <hyperlink ref="H8" location="LEADER1" display="Quarter 1"/>
    <hyperlink ref="H10" location="LEADER3" display="Quarter 3"/>
    <hyperlink ref="H11" location="LEADER4" display="Quarter 4"/>
    <hyperlink ref="H13" location="CULTUR1" display="Quarter 1"/>
    <hyperlink ref="H14" location="CULTUR2" display="Quarter 2"/>
    <hyperlink ref="H15" location="CULTUR3" display="Quarter 3"/>
    <hyperlink ref="H16" location="CULTUR4" display="Quarter 4"/>
    <hyperlink ref="H18" location="ENTERP1" display="Quarter 1"/>
    <hyperlink ref="H19" location="ENTERP2" display="Quarter 2"/>
    <hyperlink ref="H20" location="ENTERP3" display="Quarter 3"/>
    <hyperlink ref="H21" location="ENTERP4" display="Quarter 4"/>
    <hyperlink ref="H23" location="FINANC1" display="Quarter 1"/>
    <hyperlink ref="H24" location="FINANC2" display="Quarter 2"/>
    <hyperlink ref="H25" location="FINANC3" display="Quarter 3"/>
    <hyperlink ref="H26" location="FINANC4" display="Quarter 4"/>
    <hyperlink ref="H28" location="PLANNING1" display="Quarter 1"/>
    <hyperlink ref="H29" location="PLANNING2" display="Quarter 2"/>
    <hyperlink ref="H30" location="PLANNING3" display="Quarter 3"/>
    <hyperlink ref="H31" location="PLANNING4" display="Quarter 4"/>
    <hyperlink ref="H33" location="REGULATE1" display="Quarter 1"/>
    <hyperlink ref="H34" location="REGULATE2" display="Quarter 2"/>
    <hyperlink ref="H35" location="REGULATE3" display="Quarter 3"/>
    <hyperlink ref="H36" location="REGULATE4" display="Quarter 4"/>
    <hyperlink ref="A30:A35" location="CustomPivot" display="Create customised PivotTable Data Counts"/>
    <hyperlink ref="G38" location="TCN_T_Q1" display="Quarter 1"/>
    <hyperlink ref="G39" location="TCN_T_Q2" display="Quarter 2"/>
    <hyperlink ref="G40" location="TCN_T_Q3" display="Quarter 3"/>
    <hyperlink ref="G41" location="TCN_T_Q4" display="Quarter 4"/>
    <hyperlink ref="H38" location="TCN_C_Q2" display="Quarter 1"/>
    <hyperlink ref="H39" location="TCN_C_Q3" display="Quarter 2"/>
    <hyperlink ref="H40" location="TCN_C_Q5" display="Quarter 3"/>
    <hyperlink ref="H41" location="TCN_C_Q4" display="Quarter 4"/>
  </hyperlink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AN48"/>
  <sheetViews>
    <sheetView topLeftCell="B1" zoomScale="70" zoomScaleNormal="70" workbookViewId="0">
      <selection activeCell="B2" sqref="B2:B3"/>
    </sheetView>
  </sheetViews>
  <sheetFormatPr defaultColWidth="9.140625" defaultRowHeight="15"/>
  <cols>
    <col min="1" max="1" width="9.140625" style="30"/>
    <col min="2" max="2" width="49.5703125" style="23" customWidth="1"/>
    <col min="3" max="3" width="27.140625" style="23" customWidth="1"/>
    <col min="4" max="4" width="27.140625" style="122" customWidth="1"/>
    <col min="5" max="8" width="27.140625" style="23" customWidth="1"/>
    <col min="9" max="40" width="9.140625" style="30"/>
    <col min="41" max="16384" width="9.140625" style="23"/>
  </cols>
  <sheetData>
    <row r="1" spans="1:40" s="30" customFormat="1" ht="33" customHeight="1" thickBot="1">
      <c r="B1" s="33" t="s">
        <v>76</v>
      </c>
      <c r="D1" s="119"/>
    </row>
    <row r="2" spans="1:40" ht="40.5" customHeight="1" thickTop="1" thickBot="1">
      <c r="B2" s="501" t="s">
        <v>374</v>
      </c>
      <c r="C2" s="503" t="s">
        <v>20</v>
      </c>
      <c r="D2" s="504"/>
      <c r="E2" s="505" t="s">
        <v>21</v>
      </c>
      <c r="F2" s="506"/>
      <c r="G2" s="507" t="s">
        <v>22</v>
      </c>
      <c r="H2" s="508"/>
    </row>
    <row r="3" spans="1:40" ht="50.25" customHeight="1" thickTop="1" thickBot="1">
      <c r="B3" s="502"/>
      <c r="C3" s="128" t="s">
        <v>64</v>
      </c>
      <c r="D3" s="121" t="s">
        <v>26</v>
      </c>
      <c r="E3" s="129" t="s">
        <v>64</v>
      </c>
      <c r="F3" s="130" t="s">
        <v>26</v>
      </c>
      <c r="G3" s="131" t="s">
        <v>64</v>
      </c>
      <c r="H3" s="132" t="s">
        <v>26</v>
      </c>
    </row>
    <row r="4" spans="1:40" s="24" customFormat="1" ht="21.75" thickTop="1" thickBot="1">
      <c r="A4" s="31"/>
      <c r="B4" s="117" t="s">
        <v>65</v>
      </c>
      <c r="C4" s="67"/>
      <c r="D4" s="120"/>
      <c r="E4" s="67"/>
      <c r="F4" s="67"/>
      <c r="G4" s="67"/>
      <c r="H4" s="118"/>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row>
    <row r="5" spans="1:40" s="115" customFormat="1" ht="37.5" customHeight="1" thickTop="1" thickBot="1">
      <c r="A5" s="114"/>
      <c r="B5" s="123" t="s">
        <v>66</v>
      </c>
      <c r="C5" s="133">
        <f>'3. % BY PRIORITY'!Q6+'3. % BY PRIORITY'!Q7</f>
        <v>108</v>
      </c>
      <c r="D5" s="180">
        <f>'3. % BY PRIORITY'!U6</f>
        <v>0.9642857142857143</v>
      </c>
      <c r="E5" s="134">
        <f>'3. % BY PRIORITY'!Q9</f>
        <v>3</v>
      </c>
      <c r="F5" s="130">
        <f>'3. % BY PRIORITY'!U9</f>
        <v>2.6785714285714284E-2</v>
      </c>
      <c r="G5" s="135">
        <f>'3. % BY PRIORITY'!Q13+'3. % BY PRIORITY'!Q14</f>
        <v>1</v>
      </c>
      <c r="H5" s="132">
        <f>'3. % BY PRIORITY'!U13</f>
        <v>8.9285714285714281E-3</v>
      </c>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row>
    <row r="6" spans="1:40" s="115" customFormat="1" ht="21.75" thickTop="1" thickBot="1">
      <c r="A6" s="114"/>
      <c r="B6" s="125" t="s">
        <v>67</v>
      </c>
      <c r="C6" s="116"/>
      <c r="D6" s="181"/>
      <c r="E6" s="116"/>
      <c r="F6" s="181"/>
      <c r="G6" s="116"/>
      <c r="H6" s="182"/>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row>
    <row r="7" spans="1:40" s="115" customFormat="1" ht="37.5" customHeight="1" thickTop="1" thickBot="1">
      <c r="A7" s="114"/>
      <c r="B7" s="123" t="s">
        <v>200</v>
      </c>
      <c r="C7" s="133">
        <f>'3. % BY PRIORITY'!Q28+'3. % BY PRIORITY'!Q29</f>
        <v>56</v>
      </c>
      <c r="D7" s="180">
        <f>'3. % BY PRIORITY'!U28</f>
        <v>0.98245614035087714</v>
      </c>
      <c r="E7" s="136">
        <f>'3. % BY PRIORITY'!Q31</f>
        <v>1</v>
      </c>
      <c r="F7" s="130">
        <f>'3. % BY PRIORITY'!U31</f>
        <v>1.7543859649122806E-2</v>
      </c>
      <c r="G7" s="135">
        <f>'3. % BY PRIORITY'!Q35+'3. % BY PRIORITY'!Q36</f>
        <v>0</v>
      </c>
      <c r="H7" s="132">
        <f>'3. % BY PRIORITY'!U35</f>
        <v>0</v>
      </c>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row>
    <row r="8" spans="1:40" s="115" customFormat="1" ht="37.5" customHeight="1" thickTop="1" thickBot="1">
      <c r="A8" s="114"/>
      <c r="B8" s="123" t="s">
        <v>201</v>
      </c>
      <c r="C8" s="133">
        <f>'3. % BY PRIORITY'!Q50+'3. % BY PRIORITY'!Q51</f>
        <v>18</v>
      </c>
      <c r="D8" s="180">
        <f>'3. % BY PRIORITY'!U50</f>
        <v>0.94736842105263153</v>
      </c>
      <c r="E8" s="136">
        <f>'3. % BY PRIORITY'!Q53</f>
        <v>1</v>
      </c>
      <c r="F8" s="130">
        <f>'3. % BY PRIORITY'!U53</f>
        <v>5.2631578947368418E-2</v>
      </c>
      <c r="G8" s="135">
        <f>'3. % BY PRIORITY'!Q57+'3. % BY PRIORITY'!Q58</f>
        <v>0</v>
      </c>
      <c r="H8" s="132">
        <f>'3. % BY PRIORITY'!U57</f>
        <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row>
    <row r="9" spans="1:40" s="115" customFormat="1" ht="37.5" customHeight="1" thickTop="1" thickBot="1">
      <c r="A9" s="114"/>
      <c r="B9" s="123" t="s">
        <v>202</v>
      </c>
      <c r="C9" s="133">
        <f>'3. % BY PRIORITY'!Q72+'3. % BY PRIORITY'!Q73</f>
        <v>34</v>
      </c>
      <c r="D9" s="180">
        <f>'3. % BY PRIORITY'!U72</f>
        <v>0.94444444444444442</v>
      </c>
      <c r="E9" s="136">
        <f>'3. % BY PRIORITY'!Q75</f>
        <v>1</v>
      </c>
      <c r="F9" s="130">
        <f>'3. % BY PRIORITY'!U75</f>
        <v>2.7777777777777776E-2</v>
      </c>
      <c r="G9" s="135">
        <f>'3. % BY PRIORITY'!Q79+'3. % BY PRIORITY'!Q80</f>
        <v>1</v>
      </c>
      <c r="H9" s="132">
        <f>'3. % BY PRIORITY'!U79</f>
        <v>2.7777777777777776E-2</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row>
    <row r="10" spans="1:40" s="115" customFormat="1" ht="21.75" hidden="1" thickTop="1" thickBot="1">
      <c r="A10" s="114"/>
      <c r="B10" s="125" t="s">
        <v>68</v>
      </c>
      <c r="C10" s="116"/>
      <c r="D10" s="181"/>
      <c r="E10" s="116"/>
      <c r="F10" s="181"/>
      <c r="G10" s="116"/>
      <c r="H10" s="182"/>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s="115" customFormat="1" ht="37.5" hidden="1" customHeight="1" thickTop="1" thickBot="1">
      <c r="A11" s="114"/>
      <c r="B11" s="124" t="s">
        <v>78</v>
      </c>
      <c r="C11" s="133">
        <f>'5. % BY PORTFOLIO'!P6+'5. % BY PORTFOLIO'!P7</f>
        <v>31</v>
      </c>
      <c r="D11" s="180">
        <f>'5. % BY PORTFOLIO'!T6</f>
        <v>0.96875</v>
      </c>
      <c r="E11" s="136">
        <f>'5. % BY PORTFOLIO'!P9</f>
        <v>1</v>
      </c>
      <c r="F11" s="130">
        <f>'5. % BY PORTFOLIO'!T9</f>
        <v>3.125E-2</v>
      </c>
      <c r="G11" s="135">
        <f>'5. % BY PORTFOLIO'!P13+'5. % BY PORTFOLIO'!P14</f>
        <v>0</v>
      </c>
      <c r="H11" s="132">
        <f>'5. % BY PORTFOLIO'!T13</f>
        <v>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row>
    <row r="12" spans="1:40" s="115" customFormat="1" ht="37.5" hidden="1" customHeight="1" thickTop="1" thickBot="1">
      <c r="A12" s="114"/>
      <c r="B12" s="124" t="s">
        <v>90</v>
      </c>
      <c r="C12" s="133">
        <f>'5. % BY PORTFOLIO'!P29+'5. % BY PORTFOLIO'!P30</f>
        <v>23</v>
      </c>
      <c r="D12" s="180">
        <f>'5. % BY PORTFOLIO'!T29</f>
        <v>1</v>
      </c>
      <c r="E12" s="137">
        <f>'5. % BY PORTFOLIO'!P32</f>
        <v>0</v>
      </c>
      <c r="F12" s="130">
        <f>'5. % BY PORTFOLIO'!T32</f>
        <v>0</v>
      </c>
      <c r="G12" s="135">
        <f>'5. % BY PORTFOLIO'!P36+'5. % BY PORTFOLIO'!P37</f>
        <v>0</v>
      </c>
      <c r="H12" s="132">
        <f>'5. % BY PORTFOLIO'!T36</f>
        <v>0</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row>
    <row r="13" spans="1:40" s="115" customFormat="1" ht="37.5" hidden="1" customHeight="1" thickTop="1" thickBot="1">
      <c r="A13" s="114"/>
      <c r="B13" s="124" t="s">
        <v>98</v>
      </c>
      <c r="C13" s="133">
        <f>'5. % BY PORTFOLIO'!P51+'5. % BY PORTFOLIO'!P52</f>
        <v>13</v>
      </c>
      <c r="D13" s="180">
        <f>'5. % BY PORTFOLIO'!T51</f>
        <v>1</v>
      </c>
      <c r="E13" s="137">
        <f>'5. % BY PORTFOLIO'!P54</f>
        <v>0</v>
      </c>
      <c r="F13" s="130">
        <f>'5. % BY PORTFOLIO'!T54</f>
        <v>0</v>
      </c>
      <c r="G13" s="135">
        <f>'5. % BY PORTFOLIO'!P58+'5. % BY PORTFOLIO'!P59</f>
        <v>0</v>
      </c>
      <c r="H13" s="132">
        <f>'5. % BY PORTFOLIO'!T58</f>
        <v>0</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row>
    <row r="14" spans="1:40" s="115" customFormat="1" ht="37.5" hidden="1" customHeight="1" thickTop="1" thickBot="1">
      <c r="A14" s="114"/>
      <c r="B14" s="124" t="s">
        <v>97</v>
      </c>
      <c r="C14" s="133">
        <f>'5. % BY PORTFOLIO'!P73+'5. % BY PORTFOLIO'!P74</f>
        <v>13</v>
      </c>
      <c r="D14" s="180">
        <f>'5. % BY PORTFOLIO'!T73</f>
        <v>0.9285714285714286</v>
      </c>
      <c r="E14" s="137">
        <f>'5. % BY PORTFOLIO'!P76</f>
        <v>1</v>
      </c>
      <c r="F14" s="130">
        <f>'5. % BY PORTFOLIO'!T76</f>
        <v>7.1428571428571425E-2</v>
      </c>
      <c r="G14" s="135">
        <f>'5. % BY PORTFOLIO'!P80+'5. % BY PORTFOLIO'!P81</f>
        <v>0</v>
      </c>
      <c r="H14" s="132">
        <f>'5. % BY PORTFOLIO'!T80</f>
        <v>0</v>
      </c>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row>
    <row r="15" spans="1:40" s="115" customFormat="1" ht="37.5" hidden="1" customHeight="1" thickTop="1" thickBot="1">
      <c r="A15" s="114"/>
      <c r="B15" s="124" t="s">
        <v>99</v>
      </c>
      <c r="C15" s="133">
        <f>'5. % BY PORTFOLIO'!P95+'5. % BY PORTFOLIO'!P96</f>
        <v>13</v>
      </c>
      <c r="D15" s="180">
        <f>'5. % BY PORTFOLIO'!T95</f>
        <v>0.9285714285714286</v>
      </c>
      <c r="E15" s="137">
        <f>'5. % BY PORTFOLIO'!P98</f>
        <v>1</v>
      </c>
      <c r="F15" s="130">
        <f>'5. % BY PORTFOLIO'!T98</f>
        <v>7.1428571428571425E-2</v>
      </c>
      <c r="G15" s="135">
        <f>'5. % BY PORTFOLIO'!P102+'5. % BY PORTFOLIO'!P103</f>
        <v>0</v>
      </c>
      <c r="H15" s="132">
        <f>'5. % BY PORTFOLIO'!T102</f>
        <v>0</v>
      </c>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row>
    <row r="16" spans="1:40" s="115" customFormat="1" ht="37.5" hidden="1" customHeight="1" thickTop="1" thickBot="1">
      <c r="A16" s="114"/>
      <c r="B16" s="124" t="s">
        <v>6</v>
      </c>
      <c r="C16" s="133">
        <f>'5. % BY PORTFOLIO'!P117+'5. % BY PORTFOLIO'!P118</f>
        <v>11</v>
      </c>
      <c r="D16" s="180">
        <f>'5. % BY PORTFOLIO'!T117</f>
        <v>1</v>
      </c>
      <c r="E16" s="137">
        <f>'5. % BY PORTFOLIO'!P120</f>
        <v>0</v>
      </c>
      <c r="F16" s="130">
        <f>'5. % BY PORTFOLIO'!T120</f>
        <v>0</v>
      </c>
      <c r="G16" s="135">
        <f>'5. % BY PORTFOLIO'!P124+'5. % BY PORTFOLIO'!P125</f>
        <v>0</v>
      </c>
      <c r="H16" s="132">
        <f>'5. % BY PORTFOLIO'!T124</f>
        <v>0</v>
      </c>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row>
    <row r="17" spans="1:40" s="115" customFormat="1" ht="37.5" hidden="1" customHeight="1" thickTop="1" thickBot="1">
      <c r="A17" s="114"/>
      <c r="B17" s="124" t="s">
        <v>277</v>
      </c>
      <c r="C17" s="133">
        <f>'5. % BY PORTFOLIO'!P139+'5. % BY PORTFOLIO'!P140</f>
        <v>4</v>
      </c>
      <c r="D17" s="180">
        <f>'5. % BY PORTFOLIO'!T139</f>
        <v>0.8</v>
      </c>
      <c r="E17" s="137">
        <f>'5. % BY PORTFOLIO'!P142</f>
        <v>0</v>
      </c>
      <c r="F17" s="130">
        <f>'5. % BY PORTFOLIO'!T142</f>
        <v>0</v>
      </c>
      <c r="G17" s="135">
        <f>'5. % BY PORTFOLIO'!P146+'5. % BY PORTFOLIO'!P147</f>
        <v>1</v>
      </c>
      <c r="H17" s="132">
        <f>'5. % BY PORTFOLIO'!T146</f>
        <v>0.2</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row>
    <row r="18" spans="1:40" s="30" customFormat="1" ht="15.75" thickTop="1">
      <c r="D18" s="119"/>
    </row>
    <row r="19" spans="1:40" s="30" customFormat="1">
      <c r="D19" s="119"/>
    </row>
    <row r="20" spans="1:40" s="30" customFormat="1">
      <c r="D20" s="119"/>
    </row>
    <row r="21" spans="1:40" s="30" customFormat="1">
      <c r="D21" s="119"/>
    </row>
    <row r="22" spans="1:40" s="30" customFormat="1">
      <c r="D22" s="119"/>
    </row>
    <row r="23" spans="1:40" s="30" customFormat="1">
      <c r="D23" s="119"/>
    </row>
    <row r="24" spans="1:40" s="30" customFormat="1">
      <c r="D24" s="119"/>
    </row>
    <row r="25" spans="1:40" s="30" customFormat="1">
      <c r="D25" s="119"/>
    </row>
    <row r="26" spans="1:40" s="30" customFormat="1">
      <c r="D26" s="119"/>
    </row>
    <row r="27" spans="1:40" s="30" customFormat="1">
      <c r="D27" s="119"/>
    </row>
    <row r="28" spans="1:40" s="30" customFormat="1">
      <c r="D28" s="119"/>
    </row>
    <row r="29" spans="1:40" s="30" customFormat="1">
      <c r="D29" s="119"/>
    </row>
    <row r="30" spans="1:40" s="30" customFormat="1">
      <c r="D30" s="119"/>
    </row>
    <row r="31" spans="1:40" s="30" customFormat="1">
      <c r="D31" s="119"/>
    </row>
    <row r="32" spans="1:40" s="30" customFormat="1">
      <c r="D32" s="119"/>
    </row>
    <row r="33" spans="4:4" s="30" customFormat="1">
      <c r="D33" s="119"/>
    </row>
    <row r="34" spans="4:4" s="30" customFormat="1">
      <c r="D34" s="119"/>
    </row>
    <row r="35" spans="4:4" s="30" customFormat="1">
      <c r="D35" s="119"/>
    </row>
    <row r="36" spans="4:4" s="30" customFormat="1">
      <c r="D36" s="119"/>
    </row>
    <row r="37" spans="4:4" s="30" customFormat="1">
      <c r="D37" s="119"/>
    </row>
    <row r="38" spans="4:4" s="30" customFormat="1">
      <c r="D38" s="119"/>
    </row>
    <row r="39" spans="4:4" s="30" customFormat="1">
      <c r="D39" s="119"/>
    </row>
    <row r="40" spans="4:4" s="30" customFormat="1">
      <c r="D40" s="119"/>
    </row>
    <row r="41" spans="4:4" s="30" customFormat="1">
      <c r="D41" s="119"/>
    </row>
    <row r="42" spans="4:4" s="30" customFormat="1">
      <c r="D42" s="119"/>
    </row>
    <row r="43" spans="4:4" s="30" customFormat="1">
      <c r="D43" s="119"/>
    </row>
    <row r="44" spans="4:4" s="30" customFormat="1">
      <c r="D44" s="119"/>
    </row>
    <row r="45" spans="4:4" s="30" customFormat="1">
      <c r="D45" s="119"/>
    </row>
    <row r="46" spans="4:4" s="30" customFormat="1">
      <c r="D46" s="119"/>
    </row>
    <row r="47" spans="4:4" s="30" customFormat="1">
      <c r="D47" s="119"/>
    </row>
    <row r="48" spans="4:4" s="30" customFormat="1">
      <c r="D48" s="119"/>
    </row>
  </sheetData>
  <mergeCells count="4">
    <mergeCell ref="B2:B3"/>
    <mergeCell ref="C2:D2"/>
    <mergeCell ref="E2:F2"/>
    <mergeCell ref="G2:H2"/>
  </mergeCells>
  <hyperlinks>
    <hyperlink ref="B1" location="INDEX!A1" display="Back to index"/>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sheetPr>
  <dimension ref="A1:AN48"/>
  <sheetViews>
    <sheetView zoomScale="80" zoomScaleNormal="80" workbookViewId="0"/>
  </sheetViews>
  <sheetFormatPr defaultColWidth="9.140625" defaultRowHeight="15"/>
  <cols>
    <col min="1" max="1" width="9.140625" style="30"/>
    <col min="2" max="2" width="49.5703125" style="23" customWidth="1"/>
    <col min="3" max="3" width="27.140625" style="23" customWidth="1"/>
    <col min="4" max="4" width="27.140625" style="122" customWidth="1"/>
    <col min="5" max="8" width="27.140625" style="23" customWidth="1"/>
    <col min="9" max="40" width="9.140625" style="30"/>
    <col min="41" max="16384" width="9.140625" style="23"/>
  </cols>
  <sheetData>
    <row r="1" spans="1:40" s="30" customFormat="1" ht="33" customHeight="1" thickBot="1">
      <c r="B1" s="33" t="s">
        <v>76</v>
      </c>
      <c r="D1" s="119"/>
    </row>
    <row r="2" spans="1:40" ht="40.5" customHeight="1" thickTop="1" thickBot="1">
      <c r="B2" s="501" t="s">
        <v>375</v>
      </c>
      <c r="C2" s="503" t="s">
        <v>20</v>
      </c>
      <c r="D2" s="504"/>
      <c r="E2" s="505" t="s">
        <v>21</v>
      </c>
      <c r="F2" s="506"/>
      <c r="G2" s="507" t="s">
        <v>22</v>
      </c>
      <c r="H2" s="508"/>
    </row>
    <row r="3" spans="1:40" ht="50.25" customHeight="1" thickTop="1" thickBot="1">
      <c r="B3" s="502"/>
      <c r="C3" s="128" t="s">
        <v>64</v>
      </c>
      <c r="D3" s="121" t="s">
        <v>26</v>
      </c>
      <c r="E3" s="129" t="s">
        <v>64</v>
      </c>
      <c r="F3" s="130" t="s">
        <v>26</v>
      </c>
      <c r="G3" s="131" t="s">
        <v>64</v>
      </c>
      <c r="H3" s="132" t="s">
        <v>26</v>
      </c>
    </row>
    <row r="4" spans="1:40" s="24" customFormat="1" ht="21.75" thickTop="1" thickBot="1">
      <c r="A4" s="31"/>
      <c r="B4" s="117" t="s">
        <v>65</v>
      </c>
      <c r="C4" s="67"/>
      <c r="D4" s="120"/>
      <c r="E4" s="67"/>
      <c r="F4" s="67"/>
      <c r="G4" s="67"/>
      <c r="H4" s="118"/>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row>
    <row r="5" spans="1:40" s="115" customFormat="1" ht="37.5" customHeight="1" thickTop="1" thickBot="1">
      <c r="A5" s="114"/>
      <c r="B5" s="123" t="s">
        <v>66</v>
      </c>
      <c r="C5" s="133">
        <f>'3. % BY PRIORITY'!X6+'3. % BY PRIORITY'!X7</f>
        <v>0</v>
      </c>
      <c r="D5" s="180" t="e">
        <f>'3. % BY PRIORITY'!AB6</f>
        <v>#DIV/0!</v>
      </c>
      <c r="E5" s="134">
        <f>'3. % BY PRIORITY'!X9+'3. % BY PRIORITY'!X10+'3. % BY PRIORITY'!X11</f>
        <v>0</v>
      </c>
      <c r="F5" s="130" t="e">
        <f>'3. % BY PRIORITY'!AB9</f>
        <v>#DIV/0!</v>
      </c>
      <c r="G5" s="135">
        <f>'3. % BY PRIORITY'!X13+'3. % BY PRIORITY'!X14</f>
        <v>0</v>
      </c>
      <c r="H5" s="132" t="e">
        <f>'3. % BY PRIORITY'!AB13</f>
        <v>#DIV/0!</v>
      </c>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row>
    <row r="6" spans="1:40" s="115" customFormat="1" ht="21.75" thickTop="1" thickBot="1">
      <c r="A6" s="114"/>
      <c r="B6" s="125" t="s">
        <v>67</v>
      </c>
      <c r="C6" s="116"/>
      <c r="D6" s="181"/>
      <c r="E6" s="116"/>
      <c r="F6" s="181"/>
      <c r="G6" s="116"/>
      <c r="H6" s="182"/>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row>
    <row r="7" spans="1:40" s="115" customFormat="1" ht="37.5" customHeight="1" thickTop="1" thickBot="1">
      <c r="A7" s="114"/>
      <c r="B7" s="123" t="s">
        <v>200</v>
      </c>
      <c r="C7" s="133">
        <f>'3. % BY PRIORITY'!X28+'3. % BY PRIORITY'!X29</f>
        <v>0</v>
      </c>
      <c r="D7" s="180" t="e">
        <f>'3. % BY PRIORITY'!AB28</f>
        <v>#DIV/0!</v>
      </c>
      <c r="E7" s="136">
        <f>'3. % BY PRIORITY'!X31+'3. % BY PRIORITY'!X32+'3. % BY PRIORITY'!X33</f>
        <v>0</v>
      </c>
      <c r="F7" s="130" t="e">
        <f>'3. % BY PRIORITY'!AB31</f>
        <v>#DIV/0!</v>
      </c>
      <c r="G7" s="135">
        <f>'3. % BY PRIORITY'!X35+'3. % BY PRIORITY'!X36</f>
        <v>0</v>
      </c>
      <c r="H7" s="132" t="e">
        <f>'3. % BY PRIORITY'!AB35</f>
        <v>#DIV/0!</v>
      </c>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row>
    <row r="8" spans="1:40" s="115" customFormat="1" ht="37.5" customHeight="1" thickTop="1" thickBot="1">
      <c r="A8" s="114"/>
      <c r="B8" s="123" t="s">
        <v>201</v>
      </c>
      <c r="C8" s="133">
        <f>'3. % BY PRIORITY'!X50+'3. % BY PRIORITY'!X51</f>
        <v>0</v>
      </c>
      <c r="D8" s="180" t="e">
        <f>'3. % BY PRIORITY'!AB50</f>
        <v>#DIV/0!</v>
      </c>
      <c r="E8" s="136">
        <f>'3. % BY PRIORITY'!X53+'3. % BY PRIORITY'!X54+'3. % BY PRIORITY'!X55</f>
        <v>0</v>
      </c>
      <c r="F8" s="130" t="e">
        <f>'3. % BY PRIORITY'!AB53</f>
        <v>#DIV/0!</v>
      </c>
      <c r="G8" s="135">
        <f>'3. % BY PRIORITY'!X57+'3. % BY PRIORITY'!X58</f>
        <v>0</v>
      </c>
      <c r="H8" s="132" t="e">
        <f>'3. % BY PRIORITY'!AB57</f>
        <v>#DIV/0!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row>
    <row r="9" spans="1:40" s="115" customFormat="1" ht="37.5" customHeight="1" thickTop="1" thickBot="1">
      <c r="A9" s="114"/>
      <c r="B9" s="123" t="s">
        <v>202</v>
      </c>
      <c r="C9" s="133">
        <f>'3. % BY PRIORITY'!X72+'3. % BY PRIORITY'!X73</f>
        <v>0</v>
      </c>
      <c r="D9" s="180" t="e">
        <f>'3. % BY PRIORITY'!AB72</f>
        <v>#DIV/0!</v>
      </c>
      <c r="E9" s="136">
        <f>'3. % BY PRIORITY'!X75+'3. % BY PRIORITY'!X76+'3. % BY PRIORITY'!X77</f>
        <v>0</v>
      </c>
      <c r="F9" s="130" t="e">
        <f>'3. % BY PRIORITY'!AB75</f>
        <v>#DIV/0!</v>
      </c>
      <c r="G9" s="135">
        <f>'3. % BY PRIORITY'!X79+'3. % BY PRIORITY'!X80</f>
        <v>0</v>
      </c>
      <c r="H9" s="132" t="e">
        <f>'3. % BY PRIORITY'!AB79</f>
        <v>#DIV/0!</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row>
    <row r="10" spans="1:40" s="115" customFormat="1" ht="21.75" thickTop="1" thickBot="1">
      <c r="A10" s="114"/>
      <c r="B10" s="125" t="s">
        <v>68</v>
      </c>
      <c r="C10" s="116"/>
      <c r="D10" s="181"/>
      <c r="E10" s="116"/>
      <c r="F10" s="181"/>
      <c r="G10" s="116"/>
      <c r="H10" s="182"/>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s="115" customFormat="1" ht="37.5" customHeight="1" thickTop="1" thickBot="1">
      <c r="A11" s="114"/>
      <c r="B11" s="124" t="s">
        <v>78</v>
      </c>
      <c r="C11" s="133">
        <f>'5. % BY PORTFOLIO'!W6+'5. % BY PORTFOLIO'!W7</f>
        <v>0</v>
      </c>
      <c r="D11" s="180" t="e">
        <f>'5. % BY PORTFOLIO'!AA6</f>
        <v>#DIV/0!</v>
      </c>
      <c r="E11" s="136">
        <f>'5. % BY PORTFOLIO'!W9+'5. % BY PORTFOLIO'!W10+'5. % BY PORTFOLIO'!W11</f>
        <v>0</v>
      </c>
      <c r="F11" s="130" t="e">
        <f>'5. % BY PORTFOLIO'!AA9</f>
        <v>#DIV/0!</v>
      </c>
      <c r="G11" s="135">
        <f>'5. % BY PORTFOLIO'!W13+'5. % BY PORTFOLIO'!W14</f>
        <v>0</v>
      </c>
      <c r="H11" s="132" t="e">
        <f>'5. % BY PORTFOLIO'!AA13</f>
        <v>#DIV/0!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row>
    <row r="12" spans="1:40" s="115" customFormat="1" ht="37.5" customHeight="1" thickTop="1" thickBot="1">
      <c r="A12" s="114"/>
      <c r="B12" s="124" t="s">
        <v>90</v>
      </c>
      <c r="C12" s="133">
        <f>'5. % BY PORTFOLIO'!W29+'5. % BY PORTFOLIO'!W30</f>
        <v>0</v>
      </c>
      <c r="D12" s="180" t="e">
        <f>'5. % BY PORTFOLIO'!AA29</f>
        <v>#DIV/0!</v>
      </c>
      <c r="E12" s="137">
        <f>'5. % BY PORTFOLIO'!W32+'5. % BY PORTFOLIO'!W33+'5. % BY PORTFOLIO'!W34</f>
        <v>0</v>
      </c>
      <c r="F12" s="130" t="e">
        <f>'5. % BY PORTFOLIO'!AA32</f>
        <v>#DIV/0!</v>
      </c>
      <c r="G12" s="135">
        <f>'5. % BY PORTFOLIO'!W36+'5. % BY PORTFOLIO'!W37</f>
        <v>0</v>
      </c>
      <c r="H12" s="132" t="e">
        <f>'5. % BY PORTFOLIO'!AA36</f>
        <v>#DIV/0!</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row>
    <row r="13" spans="1:40" s="115" customFormat="1" ht="37.5" customHeight="1" thickTop="1" thickBot="1">
      <c r="A13" s="114"/>
      <c r="B13" s="124" t="s">
        <v>98</v>
      </c>
      <c r="C13" s="133">
        <f>'5. % BY PORTFOLIO'!W51+'5. % BY PORTFOLIO'!W52</f>
        <v>0</v>
      </c>
      <c r="D13" s="180" t="e">
        <f>'5. % BY PORTFOLIO'!AA51</f>
        <v>#DIV/0!</v>
      </c>
      <c r="E13" s="137">
        <f>'5. % BY PORTFOLIO'!W54+'5. % BY PORTFOLIO'!W55+'5. % BY PORTFOLIO'!W56</f>
        <v>0</v>
      </c>
      <c r="F13" s="130" t="e">
        <f>'5. % BY PORTFOLIO'!AA54</f>
        <v>#DIV/0!</v>
      </c>
      <c r="G13" s="135">
        <f>'5. % BY PORTFOLIO'!W58+'5. % BY PORTFOLIO'!W59</f>
        <v>0</v>
      </c>
      <c r="H13" s="132" t="e">
        <f>'5. % BY PORTFOLIO'!AA58</f>
        <v>#DIV/0!</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row>
    <row r="14" spans="1:40" s="115" customFormat="1" ht="37.5" customHeight="1" thickTop="1" thickBot="1">
      <c r="A14" s="114"/>
      <c r="B14" s="124" t="s">
        <v>97</v>
      </c>
      <c r="C14" s="133">
        <f>'5. % BY PORTFOLIO'!W73+'5. % BY PORTFOLIO'!W74</f>
        <v>0</v>
      </c>
      <c r="D14" s="180" t="e">
        <f>'5. % BY PORTFOLIO'!AA73</f>
        <v>#DIV/0!</v>
      </c>
      <c r="E14" s="137">
        <f>'5. % BY PORTFOLIO'!W76+'5. % BY PORTFOLIO'!W77+'5. % BY PORTFOLIO'!W78</f>
        <v>0</v>
      </c>
      <c r="F14" s="130" t="e">
        <f>'5. % BY PORTFOLIO'!AA76</f>
        <v>#DIV/0!</v>
      </c>
      <c r="G14" s="135">
        <f>'5. % BY PORTFOLIO'!W80+'5. % BY PORTFOLIO'!W81</f>
        <v>0</v>
      </c>
      <c r="H14" s="132" t="e">
        <f>'5. % BY PORTFOLIO'!AA80</f>
        <v>#DIV/0!</v>
      </c>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row>
    <row r="15" spans="1:40" s="115" customFormat="1" ht="37.5" customHeight="1" thickTop="1" thickBot="1">
      <c r="A15" s="114"/>
      <c r="B15" s="124" t="s">
        <v>99</v>
      </c>
      <c r="C15" s="133">
        <f>'5. % BY PORTFOLIO'!W95+'5. % BY PORTFOLIO'!W96</f>
        <v>0</v>
      </c>
      <c r="D15" s="180" t="e">
        <f>'5. % BY PORTFOLIO'!AA95</f>
        <v>#DIV/0!</v>
      </c>
      <c r="E15" s="137">
        <f>'5. % BY PORTFOLIO'!W98+'5. % BY PORTFOLIO'!W99+'5. % BY PORTFOLIO'!W100</f>
        <v>0</v>
      </c>
      <c r="F15" s="130" t="e">
        <f>'5. % BY PORTFOLIO'!AA98</f>
        <v>#DIV/0!</v>
      </c>
      <c r="G15" s="135">
        <f>'5. % BY PORTFOLIO'!W102+'5. % BY PORTFOLIO'!W103</f>
        <v>0</v>
      </c>
      <c r="H15" s="132" t="e">
        <f>'5. % BY PORTFOLIO'!AA102</f>
        <v>#DIV/0!</v>
      </c>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row>
    <row r="16" spans="1:40" s="115" customFormat="1" ht="37.5" customHeight="1" thickTop="1" thickBot="1">
      <c r="A16" s="114"/>
      <c r="B16" s="124" t="s">
        <v>6</v>
      </c>
      <c r="C16" s="133">
        <f>'5. % BY PORTFOLIO'!W117+'5. % BY PORTFOLIO'!W118</f>
        <v>0</v>
      </c>
      <c r="D16" s="180" t="e">
        <f>'5. % BY PORTFOLIO'!AA117</f>
        <v>#DIV/0!</v>
      </c>
      <c r="E16" s="137">
        <f>'5. % BY PORTFOLIO'!W120+'5. % BY PORTFOLIO'!W121+'5. % BY PORTFOLIO'!W122</f>
        <v>0</v>
      </c>
      <c r="F16" s="130" t="e">
        <f>'5. % BY PORTFOLIO'!AA120</f>
        <v>#DIV/0!</v>
      </c>
      <c r="G16" s="135">
        <f>'5. % BY PORTFOLIO'!W124+'5. % BY PORTFOLIO'!W125</f>
        <v>0</v>
      </c>
      <c r="H16" s="132" t="e">
        <f>'5. % BY PORTFOLIO'!AA124</f>
        <v>#DIV/0!</v>
      </c>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row>
    <row r="17" spans="1:40" s="115" customFormat="1" ht="37.5" customHeight="1" thickTop="1" thickBot="1">
      <c r="A17" s="114"/>
      <c r="B17" s="124" t="s">
        <v>277</v>
      </c>
      <c r="C17" s="133">
        <f>'5. % BY PORTFOLIO'!W139+'5. % BY PORTFOLIO'!W140</f>
        <v>0</v>
      </c>
      <c r="D17" s="180" t="e">
        <f>'5. % BY PORTFOLIO'!AA139</f>
        <v>#DIV/0!</v>
      </c>
      <c r="E17" s="137">
        <f>'5. % BY PORTFOLIO'!W142+'5. % BY PORTFOLIO'!W143+'5. % BY PORTFOLIO'!W144</f>
        <v>0</v>
      </c>
      <c r="F17" s="130" t="e">
        <f>'5. % BY PORTFOLIO'!AA142</f>
        <v>#DIV/0!</v>
      </c>
      <c r="G17" s="135">
        <f>'5. % BY PORTFOLIO'!W146+'5. % BY PORTFOLIO'!W147</f>
        <v>0</v>
      </c>
      <c r="H17" s="132" t="e">
        <f>'5. % BY PORTFOLIO'!AA146</f>
        <v>#DIV/0!</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row>
    <row r="18" spans="1:40" s="30" customFormat="1" ht="15.75" thickTop="1">
      <c r="D18" s="119"/>
    </row>
    <row r="19" spans="1:40" s="30" customFormat="1">
      <c r="D19" s="119"/>
    </row>
    <row r="20" spans="1:40" s="30" customFormat="1">
      <c r="D20" s="119"/>
    </row>
    <row r="21" spans="1:40" s="30" customFormat="1">
      <c r="D21" s="119"/>
    </row>
    <row r="22" spans="1:40" s="30" customFormat="1">
      <c r="D22" s="119"/>
    </row>
    <row r="23" spans="1:40" s="30" customFormat="1">
      <c r="D23" s="119"/>
    </row>
    <row r="24" spans="1:40" s="30" customFormat="1">
      <c r="D24" s="119"/>
    </row>
    <row r="25" spans="1:40" s="30" customFormat="1">
      <c r="D25" s="119"/>
    </row>
    <row r="26" spans="1:40" s="30" customFormat="1">
      <c r="D26" s="119"/>
    </row>
    <row r="27" spans="1:40" s="30" customFormat="1">
      <c r="D27" s="119"/>
    </row>
    <row r="28" spans="1:40" s="30" customFormat="1">
      <c r="D28" s="119"/>
    </row>
    <row r="29" spans="1:40" s="30" customFormat="1">
      <c r="D29" s="119"/>
    </row>
    <row r="30" spans="1:40" s="30" customFormat="1">
      <c r="D30" s="119"/>
    </row>
    <row r="31" spans="1:40" s="30" customFormat="1">
      <c r="D31" s="119"/>
    </row>
    <row r="32" spans="1:40" s="30" customFormat="1">
      <c r="D32" s="119"/>
    </row>
    <row r="33" spans="4:4" s="30" customFormat="1">
      <c r="D33" s="119"/>
    </row>
    <row r="34" spans="4:4" s="30" customFormat="1">
      <c r="D34" s="119"/>
    </row>
    <row r="35" spans="4:4" s="30" customFormat="1">
      <c r="D35" s="119"/>
    </row>
    <row r="36" spans="4:4" s="30" customFormat="1">
      <c r="D36" s="119"/>
    </row>
    <row r="37" spans="4:4" s="30" customFormat="1">
      <c r="D37" s="119"/>
    </row>
    <row r="38" spans="4:4" s="30" customFormat="1">
      <c r="D38" s="119"/>
    </row>
    <row r="39" spans="4:4" s="30" customFormat="1">
      <c r="D39" s="119"/>
    </row>
    <row r="40" spans="4:4" s="30" customFormat="1">
      <c r="D40" s="119"/>
    </row>
    <row r="41" spans="4:4" s="30" customFormat="1">
      <c r="D41" s="119"/>
    </row>
    <row r="42" spans="4:4" s="30" customFormat="1">
      <c r="D42" s="119"/>
    </row>
    <row r="43" spans="4:4" s="30" customFormat="1">
      <c r="D43" s="119"/>
    </row>
    <row r="44" spans="4:4" s="30" customFormat="1">
      <c r="D44" s="119"/>
    </row>
    <row r="45" spans="4:4" s="30" customFormat="1">
      <c r="D45" s="119"/>
    </row>
    <row r="46" spans="4:4" s="30" customFormat="1">
      <c r="D46" s="119"/>
    </row>
    <row r="47" spans="4:4" s="30" customFormat="1">
      <c r="D47" s="119"/>
    </row>
    <row r="48" spans="4:4" s="30" customFormat="1">
      <c r="D48" s="119"/>
    </row>
  </sheetData>
  <mergeCells count="4">
    <mergeCell ref="B2:B3"/>
    <mergeCell ref="C2:D2"/>
    <mergeCell ref="E2:F2"/>
    <mergeCell ref="G2:H2"/>
  </mergeCells>
  <hyperlinks>
    <hyperlink ref="B1" location="INDEX!A1" display="Back to inde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G24"/>
  <sheetViews>
    <sheetView workbookViewId="0">
      <selection activeCell="E17" sqref="E17"/>
    </sheetView>
  </sheetViews>
  <sheetFormatPr defaultRowHeight="15"/>
  <cols>
    <col min="1" max="1" width="38.85546875" customWidth="1"/>
    <col min="2" max="2" width="34.28515625" customWidth="1"/>
    <col min="3" max="3" width="8.140625" customWidth="1"/>
    <col min="4" max="4" width="14.140625" bestFit="1" customWidth="1"/>
    <col min="5" max="5" width="31.42578125" bestFit="1" customWidth="1"/>
    <col min="6" max="6" width="11.42578125" bestFit="1" customWidth="1"/>
    <col min="7" max="7" width="9.85546875" bestFit="1" customWidth="1"/>
    <col min="8" max="8" width="22.7109375" bestFit="1" customWidth="1"/>
    <col min="9" max="9" width="7.28515625" customWidth="1"/>
    <col min="10" max="10" width="11.28515625" customWidth="1"/>
    <col min="11" max="11" width="8.140625" customWidth="1"/>
    <col min="12" max="12" width="14.140625" bestFit="1" customWidth="1"/>
    <col min="13" max="13" width="31.42578125" bestFit="1" customWidth="1"/>
    <col min="14" max="14" width="11.42578125" bestFit="1" customWidth="1"/>
    <col min="15" max="15" width="9.85546875" bestFit="1" customWidth="1"/>
    <col min="16" max="16" width="22.7109375" bestFit="1" customWidth="1"/>
    <col min="17" max="17" width="7.28515625" customWidth="1"/>
    <col min="18" max="18" width="39.28515625" bestFit="1" customWidth="1"/>
    <col min="19" max="19" width="40.28515625" bestFit="1" customWidth="1"/>
  </cols>
  <sheetData>
    <row r="1" spans="1:7" ht="21" customHeight="1" thickBot="1">
      <c r="A1" s="374" t="s">
        <v>63</v>
      </c>
    </row>
    <row r="2" spans="1:7" ht="24" customHeight="1">
      <c r="A2" s="509" t="s">
        <v>249</v>
      </c>
      <c r="B2" s="510"/>
      <c r="C2" s="510"/>
      <c r="D2" s="510"/>
      <c r="E2" s="510"/>
      <c r="F2" s="510"/>
      <c r="G2" s="511"/>
    </row>
    <row r="3" spans="1:7" ht="24" customHeight="1">
      <c r="A3" s="512"/>
      <c r="B3" s="513"/>
      <c r="C3" s="513"/>
      <c r="D3" s="513"/>
      <c r="E3" s="513"/>
      <c r="F3" s="513"/>
      <c r="G3" s="514"/>
    </row>
    <row r="4" spans="1:7" ht="24" customHeight="1" thickBot="1">
      <c r="A4" s="515"/>
      <c r="B4" s="516"/>
      <c r="C4" s="516"/>
      <c r="D4" s="516"/>
      <c r="E4" s="516"/>
      <c r="F4" s="516"/>
      <c r="G4" s="517"/>
    </row>
    <row r="7" spans="1:7">
      <c r="A7" s="247" t="s">
        <v>248</v>
      </c>
      <c r="B7" t="s">
        <v>253</v>
      </c>
    </row>
    <row r="8" spans="1:7">
      <c r="A8" s="249" t="s">
        <v>95</v>
      </c>
      <c r="B8" s="248">
        <v>23</v>
      </c>
    </row>
    <row r="9" spans="1:7">
      <c r="A9" s="250" t="s">
        <v>45</v>
      </c>
      <c r="B9" s="248">
        <v>23</v>
      </c>
    </row>
    <row r="10" spans="1:7">
      <c r="A10" s="249" t="s">
        <v>77</v>
      </c>
      <c r="B10" s="248">
        <v>32</v>
      </c>
    </row>
    <row r="11" spans="1:7">
      <c r="A11" s="250" t="s">
        <v>45</v>
      </c>
      <c r="B11" s="248">
        <v>32</v>
      </c>
    </row>
    <row r="12" spans="1:7">
      <c r="A12" s="249" t="s">
        <v>39</v>
      </c>
      <c r="B12" s="248">
        <v>10</v>
      </c>
    </row>
    <row r="13" spans="1:7">
      <c r="A13" s="250" t="s">
        <v>45</v>
      </c>
      <c r="B13" s="248">
        <v>10</v>
      </c>
      <c r="D13" s="23"/>
    </row>
    <row r="14" spans="1:7">
      <c r="A14" s="249" t="s">
        <v>246</v>
      </c>
      <c r="B14" s="248"/>
      <c r="D14" s="23"/>
    </row>
    <row r="15" spans="1:7">
      <c r="A15" s="250" t="s">
        <v>246</v>
      </c>
      <c r="B15" s="248"/>
    </row>
    <row r="16" spans="1:7">
      <c r="A16" s="249" t="s">
        <v>275</v>
      </c>
      <c r="B16" s="248">
        <v>14</v>
      </c>
    </row>
    <row r="17" spans="1:2">
      <c r="A17" s="250" t="s">
        <v>45</v>
      </c>
      <c r="B17" s="248">
        <v>14</v>
      </c>
    </row>
    <row r="18" spans="1:2">
      <c r="A18" s="249" t="s">
        <v>276</v>
      </c>
      <c r="B18" s="248">
        <v>15</v>
      </c>
    </row>
    <row r="19" spans="1:2">
      <c r="A19" s="250" t="s">
        <v>45</v>
      </c>
      <c r="B19" s="248">
        <v>15</v>
      </c>
    </row>
    <row r="20" spans="1:2">
      <c r="A20" s="249" t="s">
        <v>278</v>
      </c>
      <c r="B20" s="248">
        <v>6</v>
      </c>
    </row>
    <row r="21" spans="1:2">
      <c r="A21" s="250" t="s">
        <v>45</v>
      </c>
      <c r="B21" s="248">
        <v>6</v>
      </c>
    </row>
    <row r="22" spans="1:2">
      <c r="A22" s="249" t="s">
        <v>274</v>
      </c>
      <c r="B22" s="248">
        <v>16</v>
      </c>
    </row>
    <row r="23" spans="1:2">
      <c r="A23" s="250" t="s">
        <v>45</v>
      </c>
      <c r="B23" s="248">
        <v>16</v>
      </c>
    </row>
    <row r="24" spans="1:2">
      <c r="A24" s="249" t="s">
        <v>247</v>
      </c>
      <c r="B24" s="248">
        <v>116</v>
      </c>
    </row>
  </sheetData>
  <mergeCells count="1">
    <mergeCell ref="A2:G4"/>
  </mergeCells>
  <hyperlinks>
    <hyperlink ref="A1" location="INDEX!A1" display="Back to index"/>
  </hyperlink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863D"/>
    <pageSetUpPr fitToPage="1"/>
  </sheetPr>
  <dimension ref="A1:AY173"/>
  <sheetViews>
    <sheetView tabSelected="1" zoomScale="70" zoomScaleNormal="70" zoomScaleSheetLayoutView="30" workbookViewId="0">
      <pane xSplit="5" ySplit="3" topLeftCell="O4" activePane="bottomRight" state="frozen"/>
      <selection pane="topRight" activeCell="G1" sqref="G1"/>
      <selection pane="bottomLeft" activeCell="A3" sqref="A3"/>
      <selection pane="bottomRight" activeCell="A64" sqref="A64:XFD123"/>
    </sheetView>
  </sheetViews>
  <sheetFormatPr defaultColWidth="9.140625" defaultRowHeight="15.75"/>
  <cols>
    <col min="1" max="1" width="12.7109375" style="146" customWidth="1"/>
    <col min="2" max="2" width="18.85546875" style="43" customWidth="1"/>
    <col min="3" max="3" width="37" style="139" customWidth="1"/>
    <col min="4" max="4" width="37" style="140" customWidth="1"/>
    <col min="5" max="5" width="26.5703125" style="43" hidden="1" customWidth="1"/>
    <col min="6" max="6" width="39.7109375" style="139" customWidth="1"/>
    <col min="7" max="7" width="39.7109375" style="139" hidden="1" customWidth="1"/>
    <col min="8" max="8" width="22.5703125" style="393" hidden="1" customWidth="1"/>
    <col min="9" max="9" width="39.7109375" style="139" hidden="1" customWidth="1"/>
    <col min="10" max="10" width="51.7109375" style="45" customWidth="1"/>
    <col min="11" max="12" width="39.7109375" style="45" hidden="1" customWidth="1"/>
    <col min="13" max="13" width="22.5703125" style="138" hidden="1" customWidth="1"/>
    <col min="14" max="14" width="52.5703125" style="45" hidden="1" customWidth="1"/>
    <col min="15" max="15" width="52.42578125" style="452" customWidth="1"/>
    <col min="16" max="17" width="41.85546875" style="452" customWidth="1"/>
    <col min="18" max="18" width="20.85546875" style="442" customWidth="1"/>
    <col min="19" max="19" width="66" style="453" customWidth="1"/>
    <col min="20" max="21" width="47.42578125" style="263" hidden="1" customWidth="1"/>
    <col min="22" max="22" width="25.28515625" style="138" hidden="1" customWidth="1"/>
    <col min="23" max="23" width="35.5703125" style="272" hidden="1" customWidth="1"/>
    <col min="24" max="24" width="22.140625" style="140" hidden="1" customWidth="1"/>
    <col min="25" max="25" width="22.140625" style="43" hidden="1" customWidth="1"/>
    <col min="26" max="26" width="22.140625" style="43" customWidth="1"/>
    <col min="27" max="27" width="23.5703125" style="140" hidden="1" customWidth="1"/>
    <col min="28" max="28" width="9.140625" style="277" hidden="1" customWidth="1"/>
    <col min="29" max="38" width="9.140625" style="43" customWidth="1"/>
    <col min="39" max="16384" width="9.140625" style="43"/>
  </cols>
  <sheetData>
    <row r="1" spans="1:51" s="367" customFormat="1" ht="19.5" thickBot="1">
      <c r="A1" s="244" t="s">
        <v>63</v>
      </c>
      <c r="C1" s="368"/>
      <c r="D1" s="369"/>
      <c r="F1" s="368"/>
      <c r="G1" s="368"/>
      <c r="H1" s="392"/>
      <c r="I1" s="368"/>
      <c r="J1" s="44"/>
      <c r="K1" s="44"/>
      <c r="L1" s="44"/>
      <c r="M1" s="370"/>
      <c r="N1" s="44"/>
      <c r="O1" s="447"/>
      <c r="P1" s="447"/>
      <c r="Q1" s="447"/>
      <c r="R1" s="437"/>
      <c r="S1" s="448"/>
      <c r="T1" s="371"/>
      <c r="U1" s="371"/>
      <c r="V1" s="370"/>
      <c r="W1" s="372"/>
      <c r="X1" s="369"/>
      <c r="AA1" s="369"/>
      <c r="AB1" s="373"/>
    </row>
    <row r="2" spans="1:51" ht="46.5" customHeight="1" thickTop="1">
      <c r="A2" s="473" t="s">
        <v>245</v>
      </c>
      <c r="B2" s="474"/>
      <c r="C2" s="474"/>
      <c r="D2" s="475"/>
      <c r="E2" s="367"/>
      <c r="F2" s="368"/>
      <c r="G2" s="368"/>
      <c r="H2" s="392"/>
      <c r="I2" s="368"/>
      <c r="J2" s="44"/>
      <c r="K2" s="44"/>
      <c r="L2" s="44"/>
      <c r="M2" s="370"/>
      <c r="N2" s="44"/>
      <c r="O2" s="447"/>
      <c r="P2" s="447"/>
      <c r="Q2" s="447"/>
      <c r="R2" s="437"/>
      <c r="S2" s="448"/>
      <c r="T2" s="371"/>
      <c r="U2" s="371"/>
      <c r="V2" s="370"/>
      <c r="W2" s="372"/>
      <c r="X2" s="369"/>
      <c r="Y2" s="367"/>
      <c r="Z2" s="367"/>
      <c r="AA2" s="369"/>
      <c r="AB2" s="373"/>
      <c r="AC2" s="367"/>
      <c r="AD2" s="367"/>
      <c r="AE2" s="367"/>
      <c r="AF2" s="367"/>
      <c r="AG2" s="367"/>
      <c r="AH2" s="367"/>
      <c r="AI2" s="367"/>
      <c r="AJ2" s="367"/>
      <c r="AK2" s="367"/>
      <c r="AL2" s="367"/>
      <c r="AM2" s="367"/>
      <c r="AN2" s="367"/>
      <c r="AO2" s="367"/>
      <c r="AP2" s="367"/>
      <c r="AQ2" s="367"/>
      <c r="AR2" s="367"/>
      <c r="AS2" s="367"/>
      <c r="AT2" s="367"/>
      <c r="AU2" s="367"/>
      <c r="AV2" s="367"/>
      <c r="AW2" s="367"/>
      <c r="AX2" s="367"/>
      <c r="AY2" s="367"/>
    </row>
    <row r="3" spans="1:51" s="55" customFormat="1" ht="47.25">
      <c r="A3" s="375" t="s">
        <v>228</v>
      </c>
      <c r="B3" s="376" t="s">
        <v>110</v>
      </c>
      <c r="C3" s="377" t="s">
        <v>0</v>
      </c>
      <c r="D3" s="376" t="s">
        <v>472</v>
      </c>
      <c r="E3" s="376" t="s">
        <v>93</v>
      </c>
      <c r="F3" s="376" t="s">
        <v>279</v>
      </c>
      <c r="G3" s="376" t="s">
        <v>470</v>
      </c>
      <c r="H3" s="376" t="s">
        <v>89</v>
      </c>
      <c r="I3" s="376" t="s">
        <v>268</v>
      </c>
      <c r="J3" s="376" t="s">
        <v>280</v>
      </c>
      <c r="K3" s="376" t="s">
        <v>281</v>
      </c>
      <c r="L3" s="376" t="s">
        <v>239</v>
      </c>
      <c r="M3" s="376" t="s">
        <v>8</v>
      </c>
      <c r="N3" s="376" t="s">
        <v>240</v>
      </c>
      <c r="O3" s="438" t="s">
        <v>282</v>
      </c>
      <c r="P3" s="438" t="s">
        <v>283</v>
      </c>
      <c r="Q3" s="438" t="s">
        <v>252</v>
      </c>
      <c r="R3" s="438" t="s">
        <v>9</v>
      </c>
      <c r="S3" s="438" t="s">
        <v>269</v>
      </c>
      <c r="T3" s="376" t="s">
        <v>284</v>
      </c>
      <c r="U3" s="376" t="s">
        <v>285</v>
      </c>
      <c r="V3" s="376" t="s">
        <v>75</v>
      </c>
      <c r="W3" s="376" t="s">
        <v>270</v>
      </c>
      <c r="X3" s="376" t="s">
        <v>4</v>
      </c>
      <c r="Y3" s="376" t="s">
        <v>68</v>
      </c>
      <c r="Z3" s="376" t="s">
        <v>5</v>
      </c>
      <c r="AA3" s="376" t="s">
        <v>94</v>
      </c>
      <c r="AB3" s="375" t="s">
        <v>96</v>
      </c>
    </row>
    <row r="4" spans="1:51" s="280" customFormat="1" ht="21">
      <c r="A4" s="378" t="s">
        <v>223</v>
      </c>
      <c r="B4" s="379"/>
      <c r="C4" s="380"/>
      <c r="D4" s="379"/>
      <c r="E4" s="379"/>
      <c r="F4" s="379"/>
      <c r="G4" s="379"/>
      <c r="H4" s="379"/>
      <c r="I4" s="379"/>
      <c r="J4" s="379"/>
      <c r="K4" s="379"/>
      <c r="L4" s="379"/>
      <c r="M4" s="379"/>
      <c r="N4" s="379"/>
      <c r="O4" s="451"/>
      <c r="P4" s="451"/>
      <c r="Q4" s="451"/>
      <c r="R4" s="439"/>
      <c r="S4" s="451"/>
      <c r="T4" s="401"/>
      <c r="U4" s="381"/>
      <c r="V4" s="379"/>
      <c r="W4" s="379"/>
      <c r="X4" s="379"/>
      <c r="Y4" s="379"/>
      <c r="Z4" s="379"/>
      <c r="AA4" s="379"/>
      <c r="AB4" s="382">
        <v>1</v>
      </c>
    </row>
    <row r="5" spans="1:51" ht="123.75" customHeight="1">
      <c r="A5" s="203" t="s">
        <v>114</v>
      </c>
      <c r="B5" s="202" t="s">
        <v>101</v>
      </c>
      <c r="C5" s="178" t="s">
        <v>254</v>
      </c>
      <c r="D5" s="388" t="s">
        <v>385</v>
      </c>
      <c r="E5" s="143">
        <v>42856</v>
      </c>
      <c r="F5" s="432" t="s">
        <v>539</v>
      </c>
      <c r="G5" s="432"/>
      <c r="H5" s="141" t="s">
        <v>41</v>
      </c>
      <c r="I5" s="432"/>
      <c r="J5" s="432" t="s">
        <v>576</v>
      </c>
      <c r="K5" s="432"/>
      <c r="L5" s="432"/>
      <c r="M5" s="141" t="s">
        <v>41</v>
      </c>
      <c r="N5" s="432"/>
      <c r="O5" s="449" t="s">
        <v>576</v>
      </c>
      <c r="P5" s="459"/>
      <c r="Q5" s="449"/>
      <c r="R5" s="431" t="s">
        <v>41</v>
      </c>
      <c r="S5" s="450"/>
      <c r="T5" s="408"/>
      <c r="U5" s="408"/>
      <c r="V5" s="141" t="s">
        <v>45</v>
      </c>
      <c r="W5" s="409"/>
      <c r="X5" s="398" t="s">
        <v>232</v>
      </c>
      <c r="Y5" s="399" t="s">
        <v>95</v>
      </c>
      <c r="Z5" s="399" t="s">
        <v>369</v>
      </c>
      <c r="AA5" s="402"/>
      <c r="AB5" s="278">
        <v>2</v>
      </c>
    </row>
    <row r="6" spans="1:51" ht="135">
      <c r="A6" s="203" t="s">
        <v>115</v>
      </c>
      <c r="B6" s="202" t="s">
        <v>101</v>
      </c>
      <c r="C6" s="178" t="s">
        <v>254</v>
      </c>
      <c r="D6" s="388" t="s">
        <v>386</v>
      </c>
      <c r="E6" s="143">
        <v>42887</v>
      </c>
      <c r="F6" s="432" t="s">
        <v>560</v>
      </c>
      <c r="G6" s="432"/>
      <c r="H6" s="141" t="s">
        <v>41</v>
      </c>
      <c r="I6" s="432"/>
      <c r="J6" s="432" t="s">
        <v>576</v>
      </c>
      <c r="K6" s="432"/>
      <c r="L6" s="432"/>
      <c r="M6" s="141" t="s">
        <v>41</v>
      </c>
      <c r="N6" s="432"/>
      <c r="O6" s="449" t="s">
        <v>576</v>
      </c>
      <c r="P6" s="449"/>
      <c r="Q6" s="449"/>
      <c r="R6" s="431" t="s">
        <v>41</v>
      </c>
      <c r="S6" s="450"/>
      <c r="T6" s="408"/>
      <c r="U6" s="408"/>
      <c r="V6" s="141" t="s">
        <v>45</v>
      </c>
      <c r="W6" s="409"/>
      <c r="X6" s="398" t="s">
        <v>232</v>
      </c>
      <c r="Y6" s="399" t="s">
        <v>95</v>
      </c>
      <c r="Z6" s="399" t="s">
        <v>369</v>
      </c>
      <c r="AA6" s="402"/>
      <c r="AB6" s="278">
        <v>3</v>
      </c>
    </row>
    <row r="7" spans="1:51" ht="150">
      <c r="A7" s="203" t="s">
        <v>116</v>
      </c>
      <c r="B7" s="202" t="s">
        <v>101</v>
      </c>
      <c r="C7" s="178" t="s">
        <v>254</v>
      </c>
      <c r="D7" s="388" t="s">
        <v>471</v>
      </c>
      <c r="E7" s="143">
        <v>43160</v>
      </c>
      <c r="F7" s="432" t="s">
        <v>523</v>
      </c>
      <c r="G7" s="432"/>
      <c r="H7" s="141" t="s">
        <v>42</v>
      </c>
      <c r="I7" s="432" t="s">
        <v>524</v>
      </c>
      <c r="J7" s="432" t="s">
        <v>583</v>
      </c>
      <c r="K7" s="446"/>
      <c r="L7" s="432"/>
      <c r="M7" s="141" t="s">
        <v>42</v>
      </c>
      <c r="N7" s="432"/>
      <c r="O7" s="449" t="s">
        <v>779</v>
      </c>
      <c r="P7" s="449"/>
      <c r="Q7" s="449"/>
      <c r="R7" s="431" t="s">
        <v>42</v>
      </c>
      <c r="S7" s="450"/>
      <c r="T7" s="408"/>
      <c r="U7" s="408"/>
      <c r="V7" s="141" t="s">
        <v>45</v>
      </c>
      <c r="W7" s="409"/>
      <c r="X7" s="398" t="s">
        <v>232</v>
      </c>
      <c r="Y7" s="399" t="s">
        <v>95</v>
      </c>
      <c r="Z7" s="399" t="s">
        <v>369</v>
      </c>
      <c r="AA7" s="402"/>
      <c r="AB7" s="278">
        <v>4</v>
      </c>
    </row>
    <row r="8" spans="1:51" ht="123.75" customHeight="1">
      <c r="A8" s="203" t="s">
        <v>117</v>
      </c>
      <c r="B8" s="202" t="s">
        <v>103</v>
      </c>
      <c r="C8" s="178" t="s">
        <v>286</v>
      </c>
      <c r="D8" s="388" t="s">
        <v>387</v>
      </c>
      <c r="E8" s="143">
        <v>43040</v>
      </c>
      <c r="F8" s="432" t="s">
        <v>515</v>
      </c>
      <c r="G8" s="432"/>
      <c r="H8" s="141" t="s">
        <v>42</v>
      </c>
      <c r="I8" s="432"/>
      <c r="J8" s="432" t="s">
        <v>636</v>
      </c>
      <c r="K8" s="432"/>
      <c r="L8" s="432"/>
      <c r="M8" s="141" t="s">
        <v>42</v>
      </c>
      <c r="N8" s="432"/>
      <c r="O8" s="449" t="s">
        <v>747</v>
      </c>
      <c r="P8" s="449"/>
      <c r="Q8" s="449"/>
      <c r="R8" s="431" t="s">
        <v>41</v>
      </c>
      <c r="S8" s="450"/>
      <c r="T8" s="408"/>
      <c r="U8" s="408"/>
      <c r="V8" s="141" t="s">
        <v>45</v>
      </c>
      <c r="W8" s="409"/>
      <c r="X8" s="398" t="s">
        <v>232</v>
      </c>
      <c r="Y8" s="399" t="s">
        <v>95</v>
      </c>
      <c r="Z8" s="399" t="s">
        <v>369</v>
      </c>
      <c r="AA8" s="402"/>
      <c r="AB8" s="278">
        <v>5</v>
      </c>
    </row>
    <row r="9" spans="1:51" ht="184.5" customHeight="1">
      <c r="A9" s="203" t="s">
        <v>118</v>
      </c>
      <c r="B9" s="202" t="s">
        <v>103</v>
      </c>
      <c r="C9" s="178" t="s">
        <v>286</v>
      </c>
      <c r="D9" s="388" t="s">
        <v>388</v>
      </c>
      <c r="E9" s="143">
        <v>42979</v>
      </c>
      <c r="F9" s="432" t="s">
        <v>561</v>
      </c>
      <c r="G9" s="432"/>
      <c r="H9" s="141" t="s">
        <v>42</v>
      </c>
      <c r="I9" s="432"/>
      <c r="J9" s="432" t="s">
        <v>670</v>
      </c>
      <c r="K9" s="432"/>
      <c r="L9" s="432"/>
      <c r="M9" s="141" t="s">
        <v>41</v>
      </c>
      <c r="N9" s="432" t="s">
        <v>671</v>
      </c>
      <c r="O9" s="449" t="s">
        <v>684</v>
      </c>
      <c r="P9" s="449"/>
      <c r="Q9" s="449"/>
      <c r="R9" s="431" t="s">
        <v>41</v>
      </c>
      <c r="S9" s="449" t="s">
        <v>748</v>
      </c>
      <c r="T9" s="408"/>
      <c r="U9" s="408"/>
      <c r="V9" s="141" t="s">
        <v>45</v>
      </c>
      <c r="W9" s="409"/>
      <c r="X9" s="398" t="s">
        <v>232</v>
      </c>
      <c r="Y9" s="399" t="s">
        <v>95</v>
      </c>
      <c r="Z9" s="399" t="s">
        <v>369</v>
      </c>
      <c r="AA9" s="402"/>
      <c r="AB9" s="278">
        <v>6</v>
      </c>
    </row>
    <row r="10" spans="1:51" ht="123.75" customHeight="1">
      <c r="A10" s="203" t="s">
        <v>119</v>
      </c>
      <c r="B10" s="202" t="s">
        <v>287</v>
      </c>
      <c r="C10" s="178" t="s">
        <v>288</v>
      </c>
      <c r="D10" s="388" t="s">
        <v>389</v>
      </c>
      <c r="E10" s="143">
        <v>43160</v>
      </c>
      <c r="F10" s="432" t="s">
        <v>503</v>
      </c>
      <c r="G10" s="432" t="s">
        <v>504</v>
      </c>
      <c r="H10" s="141" t="s">
        <v>42</v>
      </c>
      <c r="I10" s="432"/>
      <c r="J10" s="432" t="s">
        <v>677</v>
      </c>
      <c r="K10" s="432"/>
      <c r="L10" s="432"/>
      <c r="M10" s="141" t="s">
        <v>41</v>
      </c>
      <c r="N10" s="432"/>
      <c r="O10" s="449" t="s">
        <v>757</v>
      </c>
      <c r="P10" s="449"/>
      <c r="Q10" s="449"/>
      <c r="R10" s="431" t="s">
        <v>41</v>
      </c>
      <c r="S10" s="450"/>
      <c r="T10" s="408"/>
      <c r="U10" s="408"/>
      <c r="V10" s="141" t="s">
        <v>45</v>
      </c>
      <c r="W10" s="409"/>
      <c r="X10" s="398" t="s">
        <v>232</v>
      </c>
      <c r="Y10" s="399" t="s">
        <v>95</v>
      </c>
      <c r="Z10" s="399" t="s">
        <v>369</v>
      </c>
      <c r="AA10" s="402"/>
      <c r="AB10" s="278">
        <v>7</v>
      </c>
    </row>
    <row r="11" spans="1:51" ht="123.75" customHeight="1">
      <c r="A11" s="203" t="s">
        <v>120</v>
      </c>
      <c r="B11" s="202" t="s">
        <v>108</v>
      </c>
      <c r="C11" s="178" t="s">
        <v>289</v>
      </c>
      <c r="D11" s="388" t="s">
        <v>390</v>
      </c>
      <c r="E11" s="143">
        <v>42887</v>
      </c>
      <c r="F11" s="432" t="s">
        <v>476</v>
      </c>
      <c r="G11" s="432"/>
      <c r="H11" s="141" t="s">
        <v>41</v>
      </c>
      <c r="I11" s="432"/>
      <c r="J11" s="432" t="s">
        <v>576</v>
      </c>
      <c r="K11" s="432"/>
      <c r="L11" s="432"/>
      <c r="M11" s="141" t="s">
        <v>41</v>
      </c>
      <c r="N11" s="432"/>
      <c r="O11" s="449" t="s">
        <v>576</v>
      </c>
      <c r="P11" s="449"/>
      <c r="Q11" s="449"/>
      <c r="R11" s="431" t="s">
        <v>41</v>
      </c>
      <c r="S11" s="450"/>
      <c r="T11" s="408"/>
      <c r="U11" s="408"/>
      <c r="V11" s="141" t="s">
        <v>45</v>
      </c>
      <c r="W11" s="409"/>
      <c r="X11" s="398" t="s">
        <v>232</v>
      </c>
      <c r="Y11" s="399" t="s">
        <v>95</v>
      </c>
      <c r="Z11" s="399" t="s">
        <v>369</v>
      </c>
      <c r="AA11" s="402"/>
      <c r="AB11" s="278">
        <v>8</v>
      </c>
    </row>
    <row r="12" spans="1:51" ht="123.75" customHeight="1">
      <c r="A12" s="203" t="s">
        <v>121</v>
      </c>
      <c r="B12" s="202" t="s">
        <v>108</v>
      </c>
      <c r="C12" s="178" t="s">
        <v>289</v>
      </c>
      <c r="D12" s="388" t="s">
        <v>391</v>
      </c>
      <c r="E12" s="143">
        <v>43160</v>
      </c>
      <c r="F12" s="432" t="s">
        <v>553</v>
      </c>
      <c r="G12" s="432"/>
      <c r="H12" s="141" t="s">
        <v>42</v>
      </c>
      <c r="I12" s="432"/>
      <c r="J12" s="432" t="s">
        <v>584</v>
      </c>
      <c r="K12" s="432"/>
      <c r="L12" s="432"/>
      <c r="M12" s="141" t="s">
        <v>42</v>
      </c>
      <c r="N12" s="432"/>
      <c r="O12" s="449" t="s">
        <v>703</v>
      </c>
      <c r="P12" s="449"/>
      <c r="Q12" s="449"/>
      <c r="R12" s="431" t="s">
        <v>42</v>
      </c>
      <c r="S12" s="450"/>
      <c r="T12" s="408"/>
      <c r="U12" s="408"/>
      <c r="V12" s="141" t="s">
        <v>45</v>
      </c>
      <c r="W12" s="409"/>
      <c r="X12" s="398" t="s">
        <v>232</v>
      </c>
      <c r="Y12" s="399" t="s">
        <v>95</v>
      </c>
      <c r="Z12" s="399" t="s">
        <v>369</v>
      </c>
      <c r="AA12" s="402"/>
      <c r="AB12" s="278">
        <v>9</v>
      </c>
    </row>
    <row r="13" spans="1:51" ht="123.75" customHeight="1">
      <c r="A13" s="203" t="s">
        <v>122</v>
      </c>
      <c r="B13" s="202" t="s">
        <v>108</v>
      </c>
      <c r="C13" s="178" t="s">
        <v>289</v>
      </c>
      <c r="D13" s="388" t="s">
        <v>392</v>
      </c>
      <c r="E13" s="143">
        <v>43160</v>
      </c>
      <c r="F13" s="432" t="s">
        <v>554</v>
      </c>
      <c r="G13" s="432"/>
      <c r="H13" s="141" t="s">
        <v>42</v>
      </c>
      <c r="I13" s="432"/>
      <c r="J13" s="432" t="s">
        <v>672</v>
      </c>
      <c r="K13" s="432"/>
      <c r="L13" s="432"/>
      <c r="M13" s="141" t="s">
        <v>42</v>
      </c>
      <c r="N13" s="432"/>
      <c r="O13" s="449" t="s">
        <v>780</v>
      </c>
      <c r="P13" s="449"/>
      <c r="Q13" s="449"/>
      <c r="R13" s="431" t="s">
        <v>41</v>
      </c>
      <c r="S13" s="450"/>
      <c r="T13" s="408"/>
      <c r="U13" s="408"/>
      <c r="V13" s="141" t="s">
        <v>45</v>
      </c>
      <c r="W13" s="409"/>
      <c r="X13" s="398" t="s">
        <v>232</v>
      </c>
      <c r="Y13" s="399" t="s">
        <v>95</v>
      </c>
      <c r="Z13" s="399" t="s">
        <v>369</v>
      </c>
      <c r="AA13" s="402"/>
      <c r="AB13" s="278">
        <v>10</v>
      </c>
    </row>
    <row r="14" spans="1:51" ht="105" customHeight="1">
      <c r="A14" s="203" t="s">
        <v>123</v>
      </c>
      <c r="B14" s="202" t="s">
        <v>104</v>
      </c>
      <c r="C14" s="178" t="s">
        <v>290</v>
      </c>
      <c r="D14" s="413" t="s">
        <v>266</v>
      </c>
      <c r="E14" s="143">
        <v>43160</v>
      </c>
      <c r="F14" s="432" t="s">
        <v>473</v>
      </c>
      <c r="G14" s="432" t="s">
        <v>473</v>
      </c>
      <c r="H14" s="141" t="s">
        <v>42</v>
      </c>
      <c r="I14" s="432"/>
      <c r="J14" s="432" t="s">
        <v>603</v>
      </c>
      <c r="K14" s="432" t="s">
        <v>602</v>
      </c>
      <c r="L14" s="432" t="s">
        <v>602</v>
      </c>
      <c r="M14" s="141" t="s">
        <v>42</v>
      </c>
      <c r="N14" s="432"/>
      <c r="O14" s="449" t="s">
        <v>708</v>
      </c>
      <c r="P14" s="449" t="s">
        <v>266</v>
      </c>
      <c r="Q14" s="449" t="s">
        <v>266</v>
      </c>
      <c r="R14" s="431" t="s">
        <v>42</v>
      </c>
      <c r="S14" s="450"/>
      <c r="T14" s="408"/>
      <c r="U14" s="408"/>
      <c r="V14" s="141" t="s">
        <v>45</v>
      </c>
      <c r="W14" s="409"/>
      <c r="X14" s="398" t="s">
        <v>232</v>
      </c>
      <c r="Y14" s="399" t="s">
        <v>275</v>
      </c>
      <c r="Z14" s="399" t="s">
        <v>370</v>
      </c>
      <c r="AA14" s="402"/>
      <c r="AB14" s="278">
        <v>11</v>
      </c>
    </row>
    <row r="15" spans="1:51" ht="123.75" customHeight="1">
      <c r="A15" s="203" t="s">
        <v>124</v>
      </c>
      <c r="B15" s="202" t="s">
        <v>104</v>
      </c>
      <c r="C15" s="178" t="s">
        <v>291</v>
      </c>
      <c r="D15" s="388" t="s">
        <v>393</v>
      </c>
      <c r="E15" s="143">
        <v>43160</v>
      </c>
      <c r="F15" s="432" t="s">
        <v>501</v>
      </c>
      <c r="G15" s="432"/>
      <c r="H15" s="141" t="s">
        <v>42</v>
      </c>
      <c r="I15" s="432"/>
      <c r="J15" s="432" t="s">
        <v>604</v>
      </c>
      <c r="K15" s="432"/>
      <c r="L15" s="432"/>
      <c r="M15" s="141" t="s">
        <v>42</v>
      </c>
      <c r="N15" s="432"/>
      <c r="O15" s="449" t="s">
        <v>709</v>
      </c>
      <c r="P15" s="456">
        <v>1</v>
      </c>
      <c r="Q15" s="456">
        <v>1</v>
      </c>
      <c r="R15" s="431" t="s">
        <v>42</v>
      </c>
      <c r="S15" s="450"/>
      <c r="T15" s="408"/>
      <c r="U15" s="408"/>
      <c r="V15" s="141" t="s">
        <v>45</v>
      </c>
      <c r="W15" s="409"/>
      <c r="X15" s="398" t="s">
        <v>232</v>
      </c>
      <c r="Y15" s="399" t="s">
        <v>275</v>
      </c>
      <c r="Z15" s="399" t="s">
        <v>370</v>
      </c>
      <c r="AA15" s="402"/>
      <c r="AB15" s="278">
        <v>12</v>
      </c>
    </row>
    <row r="16" spans="1:51" ht="110.25">
      <c r="A16" s="203" t="s">
        <v>125</v>
      </c>
      <c r="B16" s="202" t="s">
        <v>104</v>
      </c>
      <c r="C16" s="178" t="s">
        <v>291</v>
      </c>
      <c r="D16" s="388" t="s">
        <v>394</v>
      </c>
      <c r="E16" s="143">
        <v>42887</v>
      </c>
      <c r="F16" s="432" t="s">
        <v>474</v>
      </c>
      <c r="G16" s="432"/>
      <c r="H16" s="141" t="s">
        <v>41</v>
      </c>
      <c r="I16" s="432" t="s">
        <v>541</v>
      </c>
      <c r="J16" s="432" t="s">
        <v>576</v>
      </c>
      <c r="K16" s="432"/>
      <c r="L16" s="432"/>
      <c r="M16" s="141" t="s">
        <v>41</v>
      </c>
      <c r="N16" s="432"/>
      <c r="O16" s="449" t="s">
        <v>576</v>
      </c>
      <c r="P16" s="449"/>
      <c r="Q16" s="449"/>
      <c r="R16" s="431" t="s">
        <v>41</v>
      </c>
      <c r="S16" s="450"/>
      <c r="T16" s="408"/>
      <c r="U16" s="408"/>
      <c r="V16" s="141" t="s">
        <v>45</v>
      </c>
      <c r="W16" s="409"/>
      <c r="X16" s="398" t="s">
        <v>232</v>
      </c>
      <c r="Y16" s="399" t="s">
        <v>275</v>
      </c>
      <c r="Z16" s="399" t="s">
        <v>370</v>
      </c>
      <c r="AA16" s="402"/>
      <c r="AB16" s="278">
        <v>13</v>
      </c>
    </row>
    <row r="17" spans="1:28" ht="123.75" customHeight="1">
      <c r="A17" s="203" t="s">
        <v>126</v>
      </c>
      <c r="B17" s="202" t="s">
        <v>104</v>
      </c>
      <c r="C17" s="178" t="s">
        <v>292</v>
      </c>
      <c r="D17" s="388" t="s">
        <v>395</v>
      </c>
      <c r="E17" s="143">
        <v>43160</v>
      </c>
      <c r="F17" s="432" t="s">
        <v>542</v>
      </c>
      <c r="G17" s="432"/>
      <c r="H17" s="141" t="s">
        <v>42</v>
      </c>
      <c r="I17" s="432"/>
      <c r="J17" s="432" t="s">
        <v>577</v>
      </c>
      <c r="K17" s="432"/>
      <c r="L17" s="432"/>
      <c r="M17" s="141" t="s">
        <v>42</v>
      </c>
      <c r="N17" s="432"/>
      <c r="O17" s="449" t="s">
        <v>704</v>
      </c>
      <c r="P17" s="449"/>
      <c r="Q17" s="449"/>
      <c r="R17" s="431" t="s">
        <v>41</v>
      </c>
      <c r="S17" s="450"/>
      <c r="T17" s="408"/>
      <c r="U17" s="408"/>
      <c r="V17" s="141" t="s">
        <v>45</v>
      </c>
      <c r="W17" s="409"/>
      <c r="X17" s="398" t="s">
        <v>232</v>
      </c>
      <c r="Y17" s="399" t="s">
        <v>275</v>
      </c>
      <c r="Z17" s="399" t="s">
        <v>370</v>
      </c>
      <c r="AA17" s="402"/>
      <c r="AB17" s="278">
        <v>14</v>
      </c>
    </row>
    <row r="18" spans="1:28" ht="123.75" customHeight="1">
      <c r="A18" s="203" t="s">
        <v>127</v>
      </c>
      <c r="B18" s="202" t="s">
        <v>104</v>
      </c>
      <c r="C18" s="178" t="s">
        <v>292</v>
      </c>
      <c r="D18" s="388" t="s">
        <v>396</v>
      </c>
      <c r="E18" s="143">
        <v>43160</v>
      </c>
      <c r="F18" s="433">
        <v>0.96</v>
      </c>
      <c r="G18" s="433">
        <v>0.96</v>
      </c>
      <c r="H18" s="141" t="s">
        <v>42</v>
      </c>
      <c r="I18" s="432"/>
      <c r="J18" s="433">
        <v>0.97</v>
      </c>
      <c r="K18" s="433">
        <v>0.97</v>
      </c>
      <c r="L18" s="433">
        <v>0.97</v>
      </c>
      <c r="M18" s="141" t="s">
        <v>42</v>
      </c>
      <c r="N18" s="432"/>
      <c r="O18" s="456">
        <v>0.98</v>
      </c>
      <c r="P18" s="449"/>
      <c r="Q18" s="449"/>
      <c r="R18" s="431" t="s">
        <v>42</v>
      </c>
      <c r="S18" s="450"/>
      <c r="T18" s="408"/>
      <c r="U18" s="408"/>
      <c r="V18" s="141" t="s">
        <v>45</v>
      </c>
      <c r="W18" s="409"/>
      <c r="X18" s="398" t="s">
        <v>232</v>
      </c>
      <c r="Y18" s="399" t="s">
        <v>275</v>
      </c>
      <c r="Z18" s="399" t="s">
        <v>370</v>
      </c>
      <c r="AA18" s="402"/>
      <c r="AB18" s="278">
        <v>15</v>
      </c>
    </row>
    <row r="19" spans="1:28" ht="123.75" customHeight="1">
      <c r="A19" s="203" t="s">
        <v>128</v>
      </c>
      <c r="B19" s="202" t="s">
        <v>104</v>
      </c>
      <c r="C19" s="178" t="s">
        <v>292</v>
      </c>
      <c r="D19" s="388" t="s">
        <v>397</v>
      </c>
      <c r="E19" s="143">
        <v>43160</v>
      </c>
      <c r="F19" s="433">
        <v>0.78</v>
      </c>
      <c r="G19" s="433">
        <v>0.78</v>
      </c>
      <c r="H19" s="141" t="s">
        <v>42</v>
      </c>
      <c r="I19" s="432"/>
      <c r="J19" s="433">
        <v>0.86</v>
      </c>
      <c r="K19" s="433">
        <v>0.82</v>
      </c>
      <c r="L19" s="433">
        <v>0.82</v>
      </c>
      <c r="M19" s="141" t="s">
        <v>42</v>
      </c>
      <c r="N19" s="432"/>
      <c r="O19" s="456">
        <v>0.75</v>
      </c>
      <c r="P19" s="449"/>
      <c r="Q19" s="449"/>
      <c r="R19" s="431" t="s">
        <v>42</v>
      </c>
      <c r="S19" s="450"/>
      <c r="T19" s="408"/>
      <c r="U19" s="408"/>
      <c r="V19" s="141" t="s">
        <v>45</v>
      </c>
      <c r="W19" s="409"/>
      <c r="X19" s="398" t="s">
        <v>232</v>
      </c>
      <c r="Y19" s="399" t="s">
        <v>275</v>
      </c>
      <c r="Z19" s="399" t="s">
        <v>370</v>
      </c>
      <c r="AA19" s="402"/>
      <c r="AB19" s="278">
        <v>16</v>
      </c>
    </row>
    <row r="20" spans="1:28" ht="123.75" customHeight="1">
      <c r="A20" s="203" t="s">
        <v>129</v>
      </c>
      <c r="B20" s="202" t="s">
        <v>104</v>
      </c>
      <c r="C20" s="178" t="s">
        <v>292</v>
      </c>
      <c r="D20" s="388" t="s">
        <v>398</v>
      </c>
      <c r="E20" s="143">
        <v>43160</v>
      </c>
      <c r="F20" s="432" t="s">
        <v>543</v>
      </c>
      <c r="G20" s="432"/>
      <c r="H20" s="141" t="s">
        <v>42</v>
      </c>
      <c r="I20" s="432"/>
      <c r="J20" s="432" t="s">
        <v>578</v>
      </c>
      <c r="K20" s="432"/>
      <c r="L20" s="432"/>
      <c r="M20" s="141" t="s">
        <v>42</v>
      </c>
      <c r="N20" s="432"/>
      <c r="O20" s="449" t="s">
        <v>705</v>
      </c>
      <c r="P20" s="449"/>
      <c r="Q20" s="449"/>
      <c r="R20" s="431" t="s">
        <v>42</v>
      </c>
      <c r="S20" s="450"/>
      <c r="T20" s="408"/>
      <c r="U20" s="408"/>
      <c r="V20" s="141" t="s">
        <v>45</v>
      </c>
      <c r="W20" s="409"/>
      <c r="X20" s="398" t="s">
        <v>232</v>
      </c>
      <c r="Y20" s="399" t="s">
        <v>275</v>
      </c>
      <c r="Z20" s="399" t="s">
        <v>370</v>
      </c>
      <c r="AA20" s="402"/>
      <c r="AB20" s="278">
        <v>17</v>
      </c>
    </row>
    <row r="21" spans="1:28" ht="123.75" customHeight="1">
      <c r="A21" s="203" t="s">
        <v>130</v>
      </c>
      <c r="B21" s="202" t="s">
        <v>105</v>
      </c>
      <c r="C21" s="178" t="s">
        <v>293</v>
      </c>
      <c r="D21" s="388" t="s">
        <v>255</v>
      </c>
      <c r="E21" s="143">
        <v>43160</v>
      </c>
      <c r="F21" s="432" t="s">
        <v>480</v>
      </c>
      <c r="G21" s="432">
        <v>9</v>
      </c>
      <c r="H21" s="141" t="s">
        <v>42</v>
      </c>
      <c r="I21" s="432"/>
      <c r="J21" s="432" t="s">
        <v>585</v>
      </c>
      <c r="K21" s="432" t="s">
        <v>586</v>
      </c>
      <c r="L21" s="432" t="s">
        <v>255</v>
      </c>
      <c r="M21" s="141" t="s">
        <v>42</v>
      </c>
      <c r="N21" s="432"/>
      <c r="O21" s="449" t="s">
        <v>720</v>
      </c>
      <c r="P21" s="449" t="s">
        <v>721</v>
      </c>
      <c r="Q21" s="449" t="s">
        <v>255</v>
      </c>
      <c r="R21" s="431" t="s">
        <v>42</v>
      </c>
      <c r="S21" s="450"/>
      <c r="T21" s="408"/>
      <c r="U21" s="408"/>
      <c r="V21" s="141" t="s">
        <v>45</v>
      </c>
      <c r="W21" s="409"/>
      <c r="X21" s="398" t="s">
        <v>232</v>
      </c>
      <c r="Y21" s="399" t="s">
        <v>77</v>
      </c>
      <c r="Z21" s="399" t="s">
        <v>370</v>
      </c>
      <c r="AA21" s="402"/>
      <c r="AB21" s="278">
        <v>18</v>
      </c>
    </row>
    <row r="22" spans="1:28" ht="120">
      <c r="A22" s="203" t="s">
        <v>131</v>
      </c>
      <c r="B22" s="202" t="s">
        <v>105</v>
      </c>
      <c r="C22" s="178" t="s">
        <v>294</v>
      </c>
      <c r="D22" s="388" t="s">
        <v>256</v>
      </c>
      <c r="E22" s="143">
        <v>43160</v>
      </c>
      <c r="F22" s="432" t="s">
        <v>668</v>
      </c>
      <c r="G22" s="432">
        <v>3</v>
      </c>
      <c r="H22" s="141" t="s">
        <v>42</v>
      </c>
      <c r="I22" s="432" t="s">
        <v>544</v>
      </c>
      <c r="J22" s="432" t="s">
        <v>587</v>
      </c>
      <c r="K22" s="432" t="s">
        <v>588</v>
      </c>
      <c r="L22" s="432" t="s">
        <v>256</v>
      </c>
      <c r="M22" s="141" t="s">
        <v>42</v>
      </c>
      <c r="N22" s="432"/>
      <c r="O22" s="449" t="s">
        <v>722</v>
      </c>
      <c r="P22" s="449" t="s">
        <v>723</v>
      </c>
      <c r="Q22" s="449" t="s">
        <v>256</v>
      </c>
      <c r="R22" s="431" t="s">
        <v>42</v>
      </c>
      <c r="S22" s="450" t="s">
        <v>736</v>
      </c>
      <c r="T22" s="408"/>
      <c r="U22" s="408"/>
      <c r="V22" s="141" t="s">
        <v>45</v>
      </c>
      <c r="W22" s="409"/>
      <c r="X22" s="398" t="s">
        <v>232</v>
      </c>
      <c r="Y22" s="399" t="s">
        <v>77</v>
      </c>
      <c r="Z22" s="399" t="s">
        <v>370</v>
      </c>
      <c r="AA22" s="402"/>
      <c r="AB22" s="278">
        <v>19</v>
      </c>
    </row>
    <row r="23" spans="1:28" ht="123.75" customHeight="1">
      <c r="A23" s="203" t="s">
        <v>132</v>
      </c>
      <c r="B23" s="202" t="s">
        <v>105</v>
      </c>
      <c r="C23" s="178" t="s">
        <v>1</v>
      </c>
      <c r="D23" s="388" t="s">
        <v>88</v>
      </c>
      <c r="E23" s="143">
        <v>43160</v>
      </c>
      <c r="F23" s="433">
        <v>1</v>
      </c>
      <c r="G23" s="433">
        <v>1</v>
      </c>
      <c r="H23" s="141" t="s">
        <v>42</v>
      </c>
      <c r="I23" s="432"/>
      <c r="J23" s="433">
        <v>0.99</v>
      </c>
      <c r="K23" s="433">
        <v>0.99</v>
      </c>
      <c r="L23" s="433">
        <v>0.99</v>
      </c>
      <c r="M23" s="141" t="s">
        <v>42</v>
      </c>
      <c r="N23" s="432"/>
      <c r="O23" s="456">
        <v>1</v>
      </c>
      <c r="P23" s="456">
        <v>0.99</v>
      </c>
      <c r="Q23" s="456">
        <v>0.99</v>
      </c>
      <c r="R23" s="431" t="s">
        <v>42</v>
      </c>
      <c r="S23" s="450"/>
      <c r="T23" s="408"/>
      <c r="U23" s="408"/>
      <c r="V23" s="141" t="s">
        <v>45</v>
      </c>
      <c r="W23" s="409"/>
      <c r="X23" s="398" t="s">
        <v>232</v>
      </c>
      <c r="Y23" s="399" t="s">
        <v>77</v>
      </c>
      <c r="Z23" s="399" t="s">
        <v>370</v>
      </c>
      <c r="AA23" s="402"/>
      <c r="AB23" s="278">
        <v>20</v>
      </c>
    </row>
    <row r="24" spans="1:28" ht="123.75" customHeight="1">
      <c r="A24" s="203" t="s">
        <v>133</v>
      </c>
      <c r="B24" s="202" t="s">
        <v>105</v>
      </c>
      <c r="C24" s="178" t="s">
        <v>1</v>
      </c>
      <c r="D24" s="388" t="s">
        <v>91</v>
      </c>
      <c r="E24" s="143">
        <v>43160</v>
      </c>
      <c r="F24" s="433">
        <v>0.68</v>
      </c>
      <c r="G24" s="433">
        <v>0.7</v>
      </c>
      <c r="H24" s="141" t="s">
        <v>42</v>
      </c>
      <c r="I24" s="432" t="s">
        <v>547</v>
      </c>
      <c r="J24" s="433">
        <v>0.7</v>
      </c>
      <c r="K24" s="433">
        <v>0.7</v>
      </c>
      <c r="L24" s="433">
        <v>0.7</v>
      </c>
      <c r="M24" s="141" t="s">
        <v>42</v>
      </c>
      <c r="N24" s="432"/>
      <c r="O24" s="456">
        <v>0.74</v>
      </c>
      <c r="P24" s="456">
        <v>0.75</v>
      </c>
      <c r="Q24" s="456">
        <v>0.7</v>
      </c>
      <c r="R24" s="431" t="s">
        <v>42</v>
      </c>
      <c r="S24" s="450"/>
      <c r="T24" s="408"/>
      <c r="U24" s="408"/>
      <c r="V24" s="141" t="s">
        <v>45</v>
      </c>
      <c r="W24" s="409"/>
      <c r="X24" s="398" t="s">
        <v>232</v>
      </c>
      <c r="Y24" s="399" t="s">
        <v>77</v>
      </c>
      <c r="Z24" s="399" t="s">
        <v>370</v>
      </c>
      <c r="AA24" s="402"/>
      <c r="AB24" s="278">
        <v>21</v>
      </c>
    </row>
    <row r="25" spans="1:28" ht="195">
      <c r="A25" s="203" t="s">
        <v>134</v>
      </c>
      <c r="B25" s="202" t="s">
        <v>105</v>
      </c>
      <c r="C25" s="178" t="s">
        <v>257</v>
      </c>
      <c r="D25" s="388" t="s">
        <v>295</v>
      </c>
      <c r="E25" s="143">
        <v>43160</v>
      </c>
      <c r="F25" s="432" t="s">
        <v>481</v>
      </c>
      <c r="G25" s="432" t="s">
        <v>481</v>
      </c>
      <c r="H25" s="141" t="s">
        <v>44</v>
      </c>
      <c r="I25" s="432" t="s">
        <v>536</v>
      </c>
      <c r="J25" s="432" t="s">
        <v>680</v>
      </c>
      <c r="K25" s="432"/>
      <c r="L25" s="432"/>
      <c r="M25" s="141" t="s">
        <v>42</v>
      </c>
      <c r="N25" s="432"/>
      <c r="O25" s="449" t="s">
        <v>725</v>
      </c>
      <c r="P25" s="449" t="s">
        <v>725</v>
      </c>
      <c r="Q25" s="449" t="s">
        <v>725</v>
      </c>
      <c r="R25" s="431" t="s">
        <v>42</v>
      </c>
      <c r="S25" s="449" t="s">
        <v>724</v>
      </c>
      <c r="T25" s="408"/>
      <c r="U25" s="408"/>
      <c r="V25" s="141" t="s">
        <v>45</v>
      </c>
      <c r="W25" s="409"/>
      <c r="X25" s="398" t="s">
        <v>232</v>
      </c>
      <c r="Y25" s="399" t="s">
        <v>77</v>
      </c>
      <c r="Z25" s="399" t="s">
        <v>370</v>
      </c>
      <c r="AA25" s="402"/>
      <c r="AB25" s="278">
        <v>22</v>
      </c>
    </row>
    <row r="26" spans="1:28" ht="300">
      <c r="A26" s="203" t="s">
        <v>135</v>
      </c>
      <c r="B26" s="202" t="s">
        <v>105</v>
      </c>
      <c r="C26" s="178" t="s">
        <v>382</v>
      </c>
      <c r="D26" s="388" t="s">
        <v>378</v>
      </c>
      <c r="E26" s="143">
        <v>43160</v>
      </c>
      <c r="F26" s="432" t="s">
        <v>482</v>
      </c>
      <c r="G26" s="432" t="s">
        <v>483</v>
      </c>
      <c r="H26" s="141" t="s">
        <v>42</v>
      </c>
      <c r="I26" s="432"/>
      <c r="J26" s="432" t="s">
        <v>642</v>
      </c>
      <c r="K26" s="432" t="s">
        <v>643</v>
      </c>
      <c r="L26" s="432" t="s">
        <v>644</v>
      </c>
      <c r="M26" s="141" t="s">
        <v>42</v>
      </c>
      <c r="N26" s="432" t="s">
        <v>679</v>
      </c>
      <c r="O26" s="449" t="s">
        <v>726</v>
      </c>
      <c r="P26" s="449" t="s">
        <v>727</v>
      </c>
      <c r="Q26" s="449" t="s">
        <v>728</v>
      </c>
      <c r="R26" s="431" t="s">
        <v>42</v>
      </c>
      <c r="S26" s="450" t="s">
        <v>729</v>
      </c>
      <c r="T26" s="408"/>
      <c r="U26" s="408"/>
      <c r="V26" s="141" t="s">
        <v>45</v>
      </c>
      <c r="W26" s="409"/>
      <c r="X26" s="398" t="s">
        <v>232</v>
      </c>
      <c r="Y26" s="399" t="s">
        <v>77</v>
      </c>
      <c r="Z26" s="399" t="s">
        <v>370</v>
      </c>
      <c r="AA26" s="402"/>
      <c r="AB26" s="278">
        <v>23</v>
      </c>
    </row>
    <row r="27" spans="1:28" ht="123.75" customHeight="1">
      <c r="A27" s="203" t="s">
        <v>136</v>
      </c>
      <c r="B27" s="202" t="s">
        <v>105</v>
      </c>
      <c r="C27" s="178" t="s">
        <v>296</v>
      </c>
      <c r="D27" s="388" t="s">
        <v>399</v>
      </c>
      <c r="E27" s="143">
        <v>43160</v>
      </c>
      <c r="F27" s="432" t="s">
        <v>484</v>
      </c>
      <c r="G27" s="432" t="s">
        <v>485</v>
      </c>
      <c r="H27" s="141" t="s">
        <v>42</v>
      </c>
      <c r="I27" s="432" t="s">
        <v>486</v>
      </c>
      <c r="J27" s="432" t="s">
        <v>645</v>
      </c>
      <c r="K27" s="432"/>
      <c r="L27" s="432" t="s">
        <v>646</v>
      </c>
      <c r="M27" s="141" t="s">
        <v>42</v>
      </c>
      <c r="N27" s="432" t="s">
        <v>486</v>
      </c>
      <c r="O27" s="449" t="s">
        <v>730</v>
      </c>
      <c r="P27" s="449" t="s">
        <v>730</v>
      </c>
      <c r="Q27" s="449" t="s">
        <v>731</v>
      </c>
      <c r="R27" s="431" t="s">
        <v>42</v>
      </c>
      <c r="S27" s="450" t="s">
        <v>486</v>
      </c>
      <c r="T27" s="408"/>
      <c r="U27" s="408"/>
      <c r="V27" s="141" t="s">
        <v>45</v>
      </c>
      <c r="W27" s="409"/>
      <c r="X27" s="398" t="s">
        <v>232</v>
      </c>
      <c r="Y27" s="399" t="s">
        <v>77</v>
      </c>
      <c r="Z27" s="399" t="s">
        <v>370</v>
      </c>
      <c r="AA27" s="402"/>
      <c r="AB27" s="278">
        <v>24</v>
      </c>
    </row>
    <row r="28" spans="1:28" ht="123.75" customHeight="1">
      <c r="A28" s="203" t="s">
        <v>137</v>
      </c>
      <c r="B28" s="202" t="s">
        <v>105</v>
      </c>
      <c r="C28" s="178" t="s">
        <v>383</v>
      </c>
      <c r="D28" s="388" t="s">
        <v>377</v>
      </c>
      <c r="E28" s="143">
        <v>43160</v>
      </c>
      <c r="F28" s="432" t="s">
        <v>487</v>
      </c>
      <c r="G28" s="432" t="s">
        <v>488</v>
      </c>
      <c r="H28" s="141" t="s">
        <v>42</v>
      </c>
      <c r="I28" s="432" t="s">
        <v>486</v>
      </c>
      <c r="J28" s="432" t="s">
        <v>647</v>
      </c>
      <c r="K28" s="432"/>
      <c r="L28" s="432" t="s">
        <v>648</v>
      </c>
      <c r="M28" s="141" t="s">
        <v>42</v>
      </c>
      <c r="N28" s="432" t="s">
        <v>486</v>
      </c>
      <c r="O28" s="449" t="s">
        <v>760</v>
      </c>
      <c r="P28" s="449" t="s">
        <v>732</v>
      </c>
      <c r="Q28" s="449" t="s">
        <v>733</v>
      </c>
      <c r="R28" s="431" t="s">
        <v>27</v>
      </c>
      <c r="S28" s="450" t="s">
        <v>734</v>
      </c>
      <c r="T28" s="408"/>
      <c r="U28" s="408"/>
      <c r="V28" s="141" t="s">
        <v>45</v>
      </c>
      <c r="W28" s="409"/>
      <c r="X28" s="398" t="s">
        <v>232</v>
      </c>
      <c r="Y28" s="399" t="s">
        <v>77</v>
      </c>
      <c r="Z28" s="399" t="s">
        <v>370</v>
      </c>
      <c r="AA28" s="402"/>
      <c r="AB28" s="278">
        <v>25</v>
      </c>
    </row>
    <row r="29" spans="1:28" ht="123.75" customHeight="1">
      <c r="A29" s="203" t="s">
        <v>138</v>
      </c>
      <c r="B29" s="202" t="s">
        <v>107</v>
      </c>
      <c r="C29" s="178" t="s">
        <v>258</v>
      </c>
      <c r="D29" s="388" t="s">
        <v>384</v>
      </c>
      <c r="E29" s="143"/>
      <c r="F29" s="432" t="s">
        <v>555</v>
      </c>
      <c r="G29" s="432"/>
      <c r="H29" s="141" t="s">
        <v>42</v>
      </c>
      <c r="I29" s="432"/>
      <c r="J29" s="432" t="s">
        <v>618</v>
      </c>
      <c r="K29" s="432"/>
      <c r="L29" s="432"/>
      <c r="M29" s="141" t="s">
        <v>41</v>
      </c>
      <c r="N29" s="432"/>
      <c r="O29" s="458" t="s">
        <v>686</v>
      </c>
      <c r="P29" s="449"/>
      <c r="Q29" s="449"/>
      <c r="R29" s="431" t="s">
        <v>41</v>
      </c>
      <c r="S29" s="450"/>
      <c r="T29" s="408"/>
      <c r="U29" s="408"/>
      <c r="V29" s="141" t="s">
        <v>45</v>
      </c>
      <c r="W29" s="409"/>
      <c r="X29" s="398" t="s">
        <v>232</v>
      </c>
      <c r="Y29" s="399" t="s">
        <v>77</v>
      </c>
      <c r="Z29" s="399" t="s">
        <v>370</v>
      </c>
      <c r="AA29" s="402"/>
      <c r="AB29" s="278">
        <v>26</v>
      </c>
    </row>
    <row r="30" spans="1:28" ht="123.75" customHeight="1">
      <c r="A30" s="203" t="s">
        <v>139</v>
      </c>
      <c r="B30" s="202" t="s">
        <v>107</v>
      </c>
      <c r="C30" s="178" t="s">
        <v>297</v>
      </c>
      <c r="D30" s="388" t="s">
        <v>400</v>
      </c>
      <c r="E30" s="143">
        <v>43132</v>
      </c>
      <c r="F30" s="432"/>
      <c r="G30" s="432"/>
      <c r="H30" s="141" t="s">
        <v>44</v>
      </c>
      <c r="I30" s="432"/>
      <c r="J30" s="432" t="s">
        <v>619</v>
      </c>
      <c r="K30" s="432"/>
      <c r="L30" s="432"/>
      <c r="M30" s="141" t="s">
        <v>42</v>
      </c>
      <c r="N30" s="432"/>
      <c r="O30" s="449" t="s">
        <v>687</v>
      </c>
      <c r="P30" s="449"/>
      <c r="Q30" s="449"/>
      <c r="R30" s="431" t="s">
        <v>42</v>
      </c>
      <c r="S30" s="450"/>
      <c r="T30" s="408"/>
      <c r="U30" s="408"/>
      <c r="V30" s="141" t="s">
        <v>45</v>
      </c>
      <c r="W30" s="409"/>
      <c r="X30" s="398" t="s">
        <v>232</v>
      </c>
      <c r="Y30" s="399" t="s">
        <v>77</v>
      </c>
      <c r="Z30" s="399" t="s">
        <v>370</v>
      </c>
      <c r="AA30" s="402"/>
      <c r="AB30" s="278">
        <v>27</v>
      </c>
    </row>
    <row r="31" spans="1:28" ht="123.75" customHeight="1">
      <c r="A31" s="203" t="s">
        <v>140</v>
      </c>
      <c r="B31" s="202" t="s">
        <v>107</v>
      </c>
      <c r="C31" s="178" t="s">
        <v>92</v>
      </c>
      <c r="D31" s="388" t="s">
        <v>401</v>
      </c>
      <c r="E31" s="143">
        <v>43160</v>
      </c>
      <c r="F31" s="432"/>
      <c r="G31" s="432"/>
      <c r="H31" s="141" t="s">
        <v>44</v>
      </c>
      <c r="I31" s="432"/>
      <c r="J31" s="432"/>
      <c r="K31" s="432"/>
      <c r="L31" s="432"/>
      <c r="M31" s="141" t="s">
        <v>44</v>
      </c>
      <c r="N31" s="432"/>
      <c r="O31" s="449" t="s">
        <v>758</v>
      </c>
      <c r="P31" s="449"/>
      <c r="Q31" s="449"/>
      <c r="R31" s="431" t="s">
        <v>42</v>
      </c>
      <c r="S31" s="450"/>
      <c r="T31" s="408"/>
      <c r="U31" s="408"/>
      <c r="V31" s="141" t="s">
        <v>45</v>
      </c>
      <c r="W31" s="409"/>
      <c r="X31" s="398" t="s">
        <v>232</v>
      </c>
      <c r="Y31" s="399" t="s">
        <v>77</v>
      </c>
      <c r="Z31" s="399" t="s">
        <v>370</v>
      </c>
      <c r="AA31" s="402"/>
      <c r="AB31" s="278">
        <v>28</v>
      </c>
    </row>
    <row r="32" spans="1:28" ht="123.75" customHeight="1">
      <c r="A32" s="203" t="s">
        <v>141</v>
      </c>
      <c r="B32" s="202" t="s">
        <v>107</v>
      </c>
      <c r="C32" s="178" t="s">
        <v>298</v>
      </c>
      <c r="D32" s="388" t="s">
        <v>402</v>
      </c>
      <c r="E32" s="143">
        <v>43160</v>
      </c>
      <c r="F32" s="432" t="s">
        <v>496</v>
      </c>
      <c r="G32" s="432"/>
      <c r="H32" s="141" t="s">
        <v>44</v>
      </c>
      <c r="I32" s="432"/>
      <c r="J32" s="432" t="s">
        <v>656</v>
      </c>
      <c r="K32" s="432"/>
      <c r="L32" s="432"/>
      <c r="M32" s="141" t="s">
        <v>42</v>
      </c>
      <c r="N32" s="432"/>
      <c r="O32" s="457" t="s">
        <v>763</v>
      </c>
      <c r="P32" s="449"/>
      <c r="Q32" s="449"/>
      <c r="R32" s="431" t="s">
        <v>42</v>
      </c>
      <c r="S32" s="450"/>
      <c r="T32" s="408"/>
      <c r="U32" s="408"/>
      <c r="V32" s="141" t="s">
        <v>45</v>
      </c>
      <c r="W32" s="409"/>
      <c r="X32" s="398" t="s">
        <v>232</v>
      </c>
      <c r="Y32" s="399" t="s">
        <v>77</v>
      </c>
      <c r="Z32" s="399" t="s">
        <v>370</v>
      </c>
      <c r="AA32" s="402"/>
      <c r="AB32" s="278">
        <v>29</v>
      </c>
    </row>
    <row r="33" spans="1:28" ht="123.75" customHeight="1">
      <c r="A33" s="203" t="s">
        <v>142</v>
      </c>
      <c r="B33" s="202" t="s">
        <v>105</v>
      </c>
      <c r="C33" s="178" t="s">
        <v>299</v>
      </c>
      <c r="D33" s="388" t="s">
        <v>403</v>
      </c>
      <c r="E33" s="143">
        <v>42826</v>
      </c>
      <c r="F33" s="432" t="s">
        <v>489</v>
      </c>
      <c r="G33" s="432"/>
      <c r="H33" s="141" t="s">
        <v>41</v>
      </c>
      <c r="I33" s="432" t="s">
        <v>495</v>
      </c>
      <c r="J33" s="432" t="s">
        <v>576</v>
      </c>
      <c r="K33" s="432"/>
      <c r="L33" s="432"/>
      <c r="M33" s="141" t="s">
        <v>41</v>
      </c>
      <c r="N33" s="432"/>
      <c r="O33" s="449" t="s">
        <v>576</v>
      </c>
      <c r="P33" s="449"/>
      <c r="Q33" s="449"/>
      <c r="R33" s="431" t="s">
        <v>41</v>
      </c>
      <c r="S33" s="450"/>
      <c r="T33" s="408"/>
      <c r="U33" s="408"/>
      <c r="V33" s="141" t="s">
        <v>45</v>
      </c>
      <c r="W33" s="409"/>
      <c r="X33" s="398" t="s">
        <v>232</v>
      </c>
      <c r="Y33" s="399" t="s">
        <v>77</v>
      </c>
      <c r="Z33" s="399" t="s">
        <v>370</v>
      </c>
      <c r="AA33" s="402"/>
      <c r="AB33" s="278">
        <v>30</v>
      </c>
    </row>
    <row r="34" spans="1:28" ht="123.75" customHeight="1">
      <c r="A34" s="203" t="s">
        <v>143</v>
      </c>
      <c r="B34" s="202" t="s">
        <v>105</v>
      </c>
      <c r="C34" s="178" t="s">
        <v>299</v>
      </c>
      <c r="D34" s="388" t="s">
        <v>404</v>
      </c>
      <c r="E34" s="143">
        <v>42979</v>
      </c>
      <c r="F34" s="432"/>
      <c r="G34" s="432"/>
      <c r="H34" s="141" t="s">
        <v>44</v>
      </c>
      <c r="I34" s="432"/>
      <c r="J34" s="432" t="s">
        <v>654</v>
      </c>
      <c r="K34" s="432"/>
      <c r="L34" s="432"/>
      <c r="M34" s="141" t="s">
        <v>41</v>
      </c>
      <c r="N34" s="432"/>
      <c r="O34" s="449" t="s">
        <v>684</v>
      </c>
      <c r="P34" s="449"/>
      <c r="Q34" s="449"/>
      <c r="R34" s="431" t="s">
        <v>41</v>
      </c>
      <c r="S34" s="450"/>
      <c r="T34" s="408"/>
      <c r="U34" s="408"/>
      <c r="V34" s="141" t="s">
        <v>45</v>
      </c>
      <c r="W34" s="409"/>
      <c r="X34" s="398" t="s">
        <v>232</v>
      </c>
      <c r="Y34" s="399" t="s">
        <v>77</v>
      </c>
      <c r="Z34" s="399" t="s">
        <v>370</v>
      </c>
      <c r="AA34" s="402"/>
      <c r="AB34" s="278">
        <v>31</v>
      </c>
    </row>
    <row r="35" spans="1:28" ht="123.75" customHeight="1">
      <c r="A35" s="203" t="s">
        <v>144</v>
      </c>
      <c r="B35" s="202" t="s">
        <v>105</v>
      </c>
      <c r="C35" s="178" t="s">
        <v>299</v>
      </c>
      <c r="D35" s="388" t="s">
        <v>405</v>
      </c>
      <c r="E35" s="143">
        <v>42979</v>
      </c>
      <c r="F35" s="432"/>
      <c r="G35" s="432"/>
      <c r="H35" s="141" t="s">
        <v>44</v>
      </c>
      <c r="I35" s="432"/>
      <c r="J35" s="432" t="s">
        <v>655</v>
      </c>
      <c r="K35" s="432"/>
      <c r="L35" s="432"/>
      <c r="M35" s="141" t="s">
        <v>41</v>
      </c>
      <c r="N35" s="432"/>
      <c r="O35" s="449" t="s">
        <v>684</v>
      </c>
      <c r="P35" s="449"/>
      <c r="Q35" s="449"/>
      <c r="R35" s="431" t="s">
        <v>41</v>
      </c>
      <c r="S35" s="450"/>
      <c r="T35" s="408"/>
      <c r="U35" s="408"/>
      <c r="V35" s="141" t="s">
        <v>45</v>
      </c>
      <c r="W35" s="409"/>
      <c r="X35" s="398" t="s">
        <v>232</v>
      </c>
      <c r="Y35" s="399" t="s">
        <v>77</v>
      </c>
      <c r="Z35" s="399" t="s">
        <v>370</v>
      </c>
      <c r="AA35" s="402"/>
      <c r="AB35" s="278">
        <v>32</v>
      </c>
    </row>
    <row r="36" spans="1:28" ht="123.75" customHeight="1">
      <c r="A36" s="203" t="s">
        <v>145</v>
      </c>
      <c r="B36" s="202" t="s">
        <v>105</v>
      </c>
      <c r="C36" s="178" t="s">
        <v>299</v>
      </c>
      <c r="D36" s="388" t="s">
        <v>406</v>
      </c>
      <c r="E36" s="143">
        <v>42887</v>
      </c>
      <c r="F36" s="432" t="s">
        <v>491</v>
      </c>
      <c r="G36" s="432" t="s">
        <v>490</v>
      </c>
      <c r="H36" s="141" t="s">
        <v>41</v>
      </c>
      <c r="I36" s="432"/>
      <c r="J36" s="432" t="s">
        <v>576</v>
      </c>
      <c r="K36" s="432"/>
      <c r="L36" s="432"/>
      <c r="M36" s="141" t="s">
        <v>41</v>
      </c>
      <c r="N36" s="432"/>
      <c r="O36" s="449" t="s">
        <v>635</v>
      </c>
      <c r="P36" s="449"/>
      <c r="Q36" s="449"/>
      <c r="R36" s="431" t="s">
        <v>41</v>
      </c>
      <c r="S36" s="450"/>
      <c r="T36" s="408"/>
      <c r="U36" s="408"/>
      <c r="V36" s="141" t="s">
        <v>45</v>
      </c>
      <c r="W36" s="409"/>
      <c r="X36" s="398" t="s">
        <v>232</v>
      </c>
      <c r="Y36" s="399" t="s">
        <v>77</v>
      </c>
      <c r="Z36" s="399" t="s">
        <v>370</v>
      </c>
      <c r="AA36" s="402"/>
      <c r="AB36" s="278">
        <v>33</v>
      </c>
    </row>
    <row r="37" spans="1:28" ht="123.75" customHeight="1">
      <c r="A37" s="203" t="s">
        <v>146</v>
      </c>
      <c r="B37" s="202" t="s">
        <v>107</v>
      </c>
      <c r="C37" s="178" t="s">
        <v>299</v>
      </c>
      <c r="D37" s="388" t="s">
        <v>407</v>
      </c>
      <c r="E37" s="143">
        <v>43070</v>
      </c>
      <c r="F37" s="432"/>
      <c r="G37" s="432"/>
      <c r="H37" s="141" t="s">
        <v>44</v>
      </c>
      <c r="I37" s="432"/>
      <c r="J37" s="432" t="s">
        <v>657</v>
      </c>
      <c r="K37" s="432"/>
      <c r="L37" s="432"/>
      <c r="M37" s="141" t="s">
        <v>42</v>
      </c>
      <c r="N37" s="432"/>
      <c r="O37" s="449" t="s">
        <v>688</v>
      </c>
      <c r="P37" s="449"/>
      <c r="Q37" s="449"/>
      <c r="R37" s="431" t="s">
        <v>41</v>
      </c>
      <c r="S37" s="450"/>
      <c r="T37" s="408"/>
      <c r="U37" s="408"/>
      <c r="V37" s="141" t="s">
        <v>45</v>
      </c>
      <c r="W37" s="409"/>
      <c r="X37" s="398" t="s">
        <v>232</v>
      </c>
      <c r="Y37" s="399" t="s">
        <v>77</v>
      </c>
      <c r="Z37" s="399" t="s">
        <v>370</v>
      </c>
      <c r="AA37" s="402"/>
      <c r="AB37" s="278">
        <v>34</v>
      </c>
    </row>
    <row r="38" spans="1:28" ht="123.75" customHeight="1">
      <c r="A38" s="203" t="s">
        <v>147</v>
      </c>
      <c r="B38" s="202" t="s">
        <v>272</v>
      </c>
      <c r="C38" s="178" t="s">
        <v>298</v>
      </c>
      <c r="D38" s="388" t="s">
        <v>408</v>
      </c>
      <c r="E38" s="143">
        <v>43070</v>
      </c>
      <c r="F38" s="432" t="s">
        <v>510</v>
      </c>
      <c r="G38" s="432"/>
      <c r="H38" s="141" t="s">
        <v>44</v>
      </c>
      <c r="I38" s="432"/>
      <c r="J38" s="432" t="s">
        <v>611</v>
      </c>
      <c r="K38" s="432"/>
      <c r="L38" s="432"/>
      <c r="M38" s="141" t="s">
        <v>42</v>
      </c>
      <c r="N38" s="432"/>
      <c r="O38" s="449" t="s">
        <v>749</v>
      </c>
      <c r="P38" s="449"/>
      <c r="Q38" s="449"/>
      <c r="R38" s="431" t="s">
        <v>41</v>
      </c>
      <c r="S38" s="450"/>
      <c r="T38" s="408"/>
      <c r="U38" s="408"/>
      <c r="V38" s="141" t="s">
        <v>45</v>
      </c>
      <c r="W38" s="409"/>
      <c r="X38" s="398" t="s">
        <v>232</v>
      </c>
      <c r="Y38" s="399" t="s">
        <v>276</v>
      </c>
      <c r="Z38" s="399" t="s">
        <v>370</v>
      </c>
      <c r="AA38" s="402"/>
      <c r="AB38" s="278">
        <v>35</v>
      </c>
    </row>
    <row r="39" spans="1:28" ht="123.75" customHeight="1">
      <c r="A39" s="203" t="s">
        <v>148</v>
      </c>
      <c r="B39" s="202" t="s">
        <v>272</v>
      </c>
      <c r="C39" s="178" t="s">
        <v>298</v>
      </c>
      <c r="D39" s="388" t="s">
        <v>409</v>
      </c>
      <c r="E39" s="143">
        <v>43070</v>
      </c>
      <c r="F39" s="432" t="s">
        <v>562</v>
      </c>
      <c r="G39" s="432"/>
      <c r="H39" s="141" t="s">
        <v>42</v>
      </c>
      <c r="I39" s="432"/>
      <c r="J39" s="432" t="s">
        <v>610</v>
      </c>
      <c r="K39" s="432"/>
      <c r="L39" s="432"/>
      <c r="M39" s="141" t="s">
        <v>42</v>
      </c>
      <c r="N39" s="432"/>
      <c r="O39" s="457" t="s">
        <v>764</v>
      </c>
      <c r="P39" s="449"/>
      <c r="Q39" s="449"/>
      <c r="R39" s="431" t="s">
        <v>41</v>
      </c>
      <c r="S39" s="450"/>
      <c r="T39" s="408"/>
      <c r="U39" s="408"/>
      <c r="V39" s="141" t="s">
        <v>45</v>
      </c>
      <c r="W39" s="409"/>
      <c r="X39" s="398" t="s">
        <v>232</v>
      </c>
      <c r="Y39" s="399" t="s">
        <v>276</v>
      </c>
      <c r="Z39" s="399" t="s">
        <v>370</v>
      </c>
      <c r="AA39" s="402"/>
      <c r="AB39" s="278">
        <v>36</v>
      </c>
    </row>
    <row r="40" spans="1:28" ht="123.75" customHeight="1">
      <c r="A40" s="203" t="s">
        <v>149</v>
      </c>
      <c r="B40" s="202" t="s">
        <v>109</v>
      </c>
      <c r="C40" s="178" t="s">
        <v>298</v>
      </c>
      <c r="D40" s="388" t="s">
        <v>410</v>
      </c>
      <c r="E40" s="143">
        <v>43070</v>
      </c>
      <c r="F40" s="432"/>
      <c r="G40" s="432"/>
      <c r="H40" s="141" t="s">
        <v>44</v>
      </c>
      <c r="I40" s="432"/>
      <c r="J40" s="432"/>
      <c r="K40" s="432"/>
      <c r="L40" s="432"/>
      <c r="M40" s="141" t="s">
        <v>44</v>
      </c>
      <c r="N40" s="432"/>
      <c r="O40" s="449" t="s">
        <v>700</v>
      </c>
      <c r="P40" s="449"/>
      <c r="Q40" s="449"/>
      <c r="R40" s="431" t="s">
        <v>41</v>
      </c>
      <c r="S40" s="450"/>
      <c r="T40" s="408"/>
      <c r="U40" s="408"/>
      <c r="V40" s="141" t="s">
        <v>45</v>
      </c>
      <c r="W40" s="409"/>
      <c r="X40" s="398" t="s">
        <v>232</v>
      </c>
      <c r="Y40" s="399" t="s">
        <v>77</v>
      </c>
      <c r="Z40" s="399" t="s">
        <v>370</v>
      </c>
      <c r="AA40" s="402"/>
      <c r="AB40" s="278">
        <v>37</v>
      </c>
    </row>
    <row r="41" spans="1:28" ht="150">
      <c r="A41" s="203" t="s">
        <v>150</v>
      </c>
      <c r="B41" s="202" t="s">
        <v>106</v>
      </c>
      <c r="C41" s="178" t="s">
        <v>298</v>
      </c>
      <c r="D41" s="388" t="s">
        <v>411</v>
      </c>
      <c r="E41" s="143">
        <v>43160</v>
      </c>
      <c r="F41" s="432"/>
      <c r="G41" s="432"/>
      <c r="H41" s="141" t="s">
        <v>44</v>
      </c>
      <c r="I41" s="432"/>
      <c r="J41" s="432"/>
      <c r="K41" s="432"/>
      <c r="L41" s="432"/>
      <c r="M41" s="141" t="s">
        <v>44</v>
      </c>
      <c r="N41" s="432"/>
      <c r="O41" s="449" t="s">
        <v>711</v>
      </c>
      <c r="P41" s="449"/>
      <c r="Q41" s="449"/>
      <c r="R41" s="431" t="s">
        <v>42</v>
      </c>
      <c r="S41" s="450" t="s">
        <v>710</v>
      </c>
      <c r="T41" s="408"/>
      <c r="U41" s="408"/>
      <c r="V41" s="141" t="s">
        <v>45</v>
      </c>
      <c r="W41" s="409"/>
      <c r="X41" s="398" t="s">
        <v>232</v>
      </c>
      <c r="Y41" s="399" t="s">
        <v>77</v>
      </c>
      <c r="Z41" s="399" t="s">
        <v>370</v>
      </c>
      <c r="AA41" s="402"/>
      <c r="AB41" s="278">
        <v>38</v>
      </c>
    </row>
    <row r="42" spans="1:28" ht="123.75" customHeight="1">
      <c r="A42" s="203" t="s">
        <v>151</v>
      </c>
      <c r="B42" s="202" t="s">
        <v>106</v>
      </c>
      <c r="C42" s="178" t="s">
        <v>298</v>
      </c>
      <c r="D42" s="388" t="s">
        <v>412</v>
      </c>
      <c r="E42" s="143">
        <v>42887</v>
      </c>
      <c r="F42" s="432" t="s">
        <v>517</v>
      </c>
      <c r="G42" s="432"/>
      <c r="H42" s="141" t="s">
        <v>41</v>
      </c>
      <c r="I42" s="432"/>
      <c r="J42" s="432" t="s">
        <v>576</v>
      </c>
      <c r="K42" s="432"/>
      <c r="L42" s="432"/>
      <c r="M42" s="141" t="s">
        <v>41</v>
      </c>
      <c r="N42" s="432"/>
      <c r="O42" s="449" t="s">
        <v>576</v>
      </c>
      <c r="P42" s="449"/>
      <c r="Q42" s="449"/>
      <c r="R42" s="431" t="s">
        <v>41</v>
      </c>
      <c r="S42" s="450"/>
      <c r="T42" s="408"/>
      <c r="U42" s="408"/>
      <c r="V42" s="141" t="s">
        <v>45</v>
      </c>
      <c r="W42" s="409"/>
      <c r="X42" s="398" t="s">
        <v>232</v>
      </c>
      <c r="Y42" s="399" t="s">
        <v>77</v>
      </c>
      <c r="Z42" s="399" t="s">
        <v>370</v>
      </c>
      <c r="AA42" s="402"/>
      <c r="AB42" s="278">
        <v>39</v>
      </c>
    </row>
    <row r="43" spans="1:28" ht="123.75" customHeight="1">
      <c r="A43" s="203" t="s">
        <v>152</v>
      </c>
      <c r="B43" s="202" t="s">
        <v>106</v>
      </c>
      <c r="C43" s="178" t="s">
        <v>298</v>
      </c>
      <c r="D43" s="388" t="s">
        <v>413</v>
      </c>
      <c r="E43" s="143">
        <v>43160</v>
      </c>
      <c r="F43" s="432"/>
      <c r="G43" s="432"/>
      <c r="H43" s="141" t="s">
        <v>44</v>
      </c>
      <c r="I43" s="432"/>
      <c r="J43" s="432" t="s">
        <v>616</v>
      </c>
      <c r="K43" s="432"/>
      <c r="L43" s="432"/>
      <c r="M43" s="141" t="s">
        <v>42</v>
      </c>
      <c r="N43" s="432"/>
      <c r="O43" s="449" t="s">
        <v>695</v>
      </c>
      <c r="P43" s="449"/>
      <c r="Q43" s="449"/>
      <c r="R43" s="431" t="s">
        <v>41</v>
      </c>
      <c r="S43" s="450"/>
      <c r="T43" s="408"/>
      <c r="U43" s="408"/>
      <c r="V43" s="141" t="s">
        <v>45</v>
      </c>
      <c r="W43" s="409"/>
      <c r="X43" s="398" t="s">
        <v>232</v>
      </c>
      <c r="Y43" s="399" t="s">
        <v>77</v>
      </c>
      <c r="Z43" s="399" t="s">
        <v>370</v>
      </c>
      <c r="AA43" s="402"/>
      <c r="AB43" s="278">
        <v>40</v>
      </c>
    </row>
    <row r="44" spans="1:28" ht="123.75" customHeight="1">
      <c r="A44" s="203" t="s">
        <v>153</v>
      </c>
      <c r="B44" s="202" t="s">
        <v>106</v>
      </c>
      <c r="C44" s="178" t="s">
        <v>298</v>
      </c>
      <c r="D44" s="388" t="s">
        <v>414</v>
      </c>
      <c r="E44" s="143">
        <v>43160</v>
      </c>
      <c r="F44" s="432"/>
      <c r="G44" s="432"/>
      <c r="H44" s="141" t="s">
        <v>44</v>
      </c>
      <c r="I44" s="432"/>
      <c r="J44" s="432"/>
      <c r="K44" s="432"/>
      <c r="L44" s="432"/>
      <c r="M44" s="141" t="s">
        <v>44</v>
      </c>
      <c r="N44" s="432"/>
      <c r="O44" s="449"/>
      <c r="P44" s="449"/>
      <c r="Q44" s="449"/>
      <c r="R44" s="431" t="s">
        <v>44</v>
      </c>
      <c r="S44" s="450"/>
      <c r="T44" s="408"/>
      <c r="U44" s="408"/>
      <c r="V44" s="141" t="s">
        <v>45</v>
      </c>
      <c r="W44" s="409"/>
      <c r="X44" s="398" t="s">
        <v>232</v>
      </c>
      <c r="Y44" s="399" t="s">
        <v>77</v>
      </c>
      <c r="Z44" s="399" t="s">
        <v>370</v>
      </c>
      <c r="AA44" s="402"/>
      <c r="AB44" s="278">
        <v>41</v>
      </c>
    </row>
    <row r="45" spans="1:28" ht="180">
      <c r="A45" s="203" t="s">
        <v>154</v>
      </c>
      <c r="B45" s="202" t="s">
        <v>107</v>
      </c>
      <c r="C45" s="178" t="s">
        <v>300</v>
      </c>
      <c r="D45" s="388" t="s">
        <v>415</v>
      </c>
      <c r="E45" s="143">
        <v>43160</v>
      </c>
      <c r="F45" s="432" t="s">
        <v>545</v>
      </c>
      <c r="G45" s="432"/>
      <c r="H45" s="141" t="s">
        <v>42</v>
      </c>
      <c r="I45" s="432"/>
      <c r="J45" s="432" t="s">
        <v>678</v>
      </c>
      <c r="K45" s="432"/>
      <c r="L45" s="432"/>
      <c r="M45" s="141" t="s">
        <v>42</v>
      </c>
      <c r="N45" s="432"/>
      <c r="O45" s="449" t="s">
        <v>689</v>
      </c>
      <c r="P45" s="449"/>
      <c r="Q45" s="449"/>
      <c r="R45" s="431" t="s">
        <v>42</v>
      </c>
      <c r="S45" s="450"/>
      <c r="T45" s="408"/>
      <c r="U45" s="408"/>
      <c r="V45" s="141" t="s">
        <v>45</v>
      </c>
      <c r="W45" s="409"/>
      <c r="X45" s="398" t="s">
        <v>232</v>
      </c>
      <c r="Y45" s="399" t="s">
        <v>77</v>
      </c>
      <c r="Z45" s="399" t="s">
        <v>370</v>
      </c>
      <c r="AA45" s="402"/>
      <c r="AB45" s="278">
        <v>42</v>
      </c>
    </row>
    <row r="46" spans="1:28" ht="123.75" customHeight="1">
      <c r="A46" s="203" t="s">
        <v>155</v>
      </c>
      <c r="B46" s="202" t="s">
        <v>111</v>
      </c>
      <c r="C46" s="178" t="s">
        <v>301</v>
      </c>
      <c r="D46" s="388" t="s">
        <v>302</v>
      </c>
      <c r="E46" s="143">
        <v>43160</v>
      </c>
      <c r="F46" s="432">
        <v>0.52</v>
      </c>
      <c r="G46" s="432">
        <v>2.7</v>
      </c>
      <c r="H46" s="141" t="s">
        <v>42</v>
      </c>
      <c r="I46" s="432"/>
      <c r="J46" s="432">
        <v>0.6</v>
      </c>
      <c r="K46" s="432">
        <v>1.1200000000000001</v>
      </c>
      <c r="L46" s="432">
        <v>2.7</v>
      </c>
      <c r="M46" s="141" t="s">
        <v>42</v>
      </c>
      <c r="N46" s="432"/>
      <c r="O46" s="449">
        <v>0.68</v>
      </c>
      <c r="P46" s="449">
        <v>1.79</v>
      </c>
      <c r="Q46" s="449">
        <v>2.6</v>
      </c>
      <c r="R46" s="431" t="s">
        <v>42</v>
      </c>
      <c r="S46" s="450"/>
      <c r="T46" s="408"/>
      <c r="U46" s="408"/>
      <c r="V46" s="141" t="s">
        <v>45</v>
      </c>
      <c r="W46" s="409"/>
      <c r="X46" s="398" t="s">
        <v>232</v>
      </c>
      <c r="Y46" s="399" t="s">
        <v>77</v>
      </c>
      <c r="Z46" s="399" t="s">
        <v>371</v>
      </c>
      <c r="AA46" s="402"/>
      <c r="AB46" s="278">
        <v>43</v>
      </c>
    </row>
    <row r="47" spans="1:28" ht="123.75" customHeight="1">
      <c r="A47" s="203" t="s">
        <v>156</v>
      </c>
      <c r="B47" s="202" t="s">
        <v>111</v>
      </c>
      <c r="C47" s="178" t="s">
        <v>303</v>
      </c>
      <c r="D47" s="388" t="s">
        <v>251</v>
      </c>
      <c r="E47" s="143">
        <v>43160</v>
      </c>
      <c r="F47" s="432" t="s">
        <v>475</v>
      </c>
      <c r="G47" s="432" t="s">
        <v>251</v>
      </c>
      <c r="H47" s="141" t="s">
        <v>42</v>
      </c>
      <c r="I47" s="432"/>
      <c r="J47" s="432" t="s">
        <v>628</v>
      </c>
      <c r="K47" s="432" t="s">
        <v>628</v>
      </c>
      <c r="L47" s="432" t="s">
        <v>475</v>
      </c>
      <c r="M47" s="141" t="s">
        <v>42</v>
      </c>
      <c r="N47" s="432"/>
      <c r="O47" s="449" t="s">
        <v>715</v>
      </c>
      <c r="P47" s="449">
        <v>12.33</v>
      </c>
      <c r="Q47" s="449">
        <v>13</v>
      </c>
      <c r="R47" s="431" t="s">
        <v>42</v>
      </c>
      <c r="S47" s="450"/>
      <c r="T47" s="408"/>
      <c r="U47" s="408"/>
      <c r="V47" s="141" t="s">
        <v>45</v>
      </c>
      <c r="W47" s="409"/>
      <c r="X47" s="398" t="s">
        <v>232</v>
      </c>
      <c r="Y47" s="399" t="s">
        <v>77</v>
      </c>
      <c r="Z47" s="399" t="s">
        <v>371</v>
      </c>
      <c r="AA47" s="402"/>
      <c r="AB47" s="278">
        <v>44</v>
      </c>
    </row>
    <row r="48" spans="1:28" ht="154.5" customHeight="1">
      <c r="A48" s="203" t="s">
        <v>157</v>
      </c>
      <c r="B48" s="202" t="s">
        <v>106</v>
      </c>
      <c r="C48" s="178" t="s">
        <v>304</v>
      </c>
      <c r="D48" s="388" t="s">
        <v>416</v>
      </c>
      <c r="E48" s="143">
        <v>42887</v>
      </c>
      <c r="F48" s="432" t="s">
        <v>477</v>
      </c>
      <c r="G48" s="432"/>
      <c r="H48" s="141" t="s">
        <v>41</v>
      </c>
      <c r="I48" s="432"/>
      <c r="J48" s="432" t="s">
        <v>576</v>
      </c>
      <c r="K48" s="432"/>
      <c r="L48" s="432"/>
      <c r="M48" s="141" t="s">
        <v>41</v>
      </c>
      <c r="N48" s="432"/>
      <c r="O48" s="449" t="s">
        <v>576</v>
      </c>
      <c r="P48" s="449"/>
      <c r="Q48" s="449"/>
      <c r="R48" s="431" t="s">
        <v>41</v>
      </c>
      <c r="S48" s="450"/>
      <c r="T48" s="408"/>
      <c r="U48" s="408"/>
      <c r="V48" s="141" t="s">
        <v>45</v>
      </c>
      <c r="W48" s="409"/>
      <c r="X48" s="398" t="s">
        <v>232</v>
      </c>
      <c r="Y48" s="399" t="s">
        <v>77</v>
      </c>
      <c r="Z48" s="399" t="s">
        <v>369</v>
      </c>
      <c r="AA48" s="402"/>
      <c r="AB48" s="278">
        <v>45</v>
      </c>
    </row>
    <row r="49" spans="1:28" ht="123.75" customHeight="1">
      <c r="A49" s="203" t="s">
        <v>158</v>
      </c>
      <c r="B49" s="202" t="s">
        <v>106</v>
      </c>
      <c r="C49" s="178" t="s">
        <v>305</v>
      </c>
      <c r="D49" s="388" t="s">
        <v>417</v>
      </c>
      <c r="E49" s="143">
        <v>43160</v>
      </c>
      <c r="F49" s="432"/>
      <c r="G49" s="432"/>
      <c r="H49" s="141" t="s">
        <v>44</v>
      </c>
      <c r="I49" s="432"/>
      <c r="J49" s="432" t="s">
        <v>617</v>
      </c>
      <c r="K49" s="432"/>
      <c r="L49" s="432"/>
      <c r="M49" s="141" t="s">
        <v>42</v>
      </c>
      <c r="N49" s="432"/>
      <c r="O49" s="449" t="s">
        <v>696</v>
      </c>
      <c r="P49" s="449"/>
      <c r="Q49" s="449"/>
      <c r="R49" s="431" t="s">
        <v>42</v>
      </c>
      <c r="S49" s="450"/>
      <c r="T49" s="408"/>
      <c r="U49" s="408"/>
      <c r="V49" s="141" t="s">
        <v>45</v>
      </c>
      <c r="W49" s="409"/>
      <c r="X49" s="398" t="s">
        <v>232</v>
      </c>
      <c r="Y49" s="399" t="s">
        <v>77</v>
      </c>
      <c r="Z49" s="399" t="s">
        <v>369</v>
      </c>
      <c r="AA49" s="402"/>
      <c r="AB49" s="278">
        <v>46</v>
      </c>
    </row>
    <row r="50" spans="1:28" ht="123.75" customHeight="1">
      <c r="A50" s="203" t="s">
        <v>159</v>
      </c>
      <c r="B50" s="202" t="s">
        <v>106</v>
      </c>
      <c r="C50" s="178" t="s">
        <v>306</v>
      </c>
      <c r="D50" s="388" t="s">
        <v>418</v>
      </c>
      <c r="E50" s="143">
        <v>42887</v>
      </c>
      <c r="F50" s="432" t="s">
        <v>518</v>
      </c>
      <c r="G50" s="432"/>
      <c r="H50" s="141" t="s">
        <v>41</v>
      </c>
      <c r="I50" s="432"/>
      <c r="J50" s="432" t="s">
        <v>576</v>
      </c>
      <c r="K50" s="432"/>
      <c r="L50" s="432"/>
      <c r="M50" s="141" t="s">
        <v>41</v>
      </c>
      <c r="N50" s="432"/>
      <c r="O50" s="449" t="s">
        <v>576</v>
      </c>
      <c r="P50" s="449"/>
      <c r="Q50" s="449"/>
      <c r="R50" s="431" t="s">
        <v>41</v>
      </c>
      <c r="S50" s="450"/>
      <c r="T50" s="408"/>
      <c r="U50" s="408"/>
      <c r="V50" s="141" t="s">
        <v>45</v>
      </c>
      <c r="W50" s="409"/>
      <c r="X50" s="398" t="s">
        <v>232</v>
      </c>
      <c r="Y50" s="399" t="s">
        <v>77</v>
      </c>
      <c r="Z50" s="399" t="s">
        <v>370</v>
      </c>
      <c r="AA50" s="402"/>
      <c r="AB50" s="278">
        <v>47</v>
      </c>
    </row>
    <row r="51" spans="1:28" ht="123.75" customHeight="1">
      <c r="A51" s="203" t="s">
        <v>160</v>
      </c>
      <c r="B51" s="202" t="s">
        <v>102</v>
      </c>
      <c r="C51" s="178" t="s">
        <v>307</v>
      </c>
      <c r="D51" s="388" t="s">
        <v>419</v>
      </c>
      <c r="E51" s="143">
        <v>43160</v>
      </c>
      <c r="F51" s="432" t="s">
        <v>512</v>
      </c>
      <c r="G51" s="432" t="s">
        <v>497</v>
      </c>
      <c r="H51" s="141" t="s">
        <v>42</v>
      </c>
      <c r="I51" s="432"/>
      <c r="J51" s="432" t="s">
        <v>650</v>
      </c>
      <c r="K51" s="432" t="s">
        <v>623</v>
      </c>
      <c r="L51" s="432" t="s">
        <v>652</v>
      </c>
      <c r="M51" s="141" t="s">
        <v>42</v>
      </c>
      <c r="N51" s="432" t="s">
        <v>624</v>
      </c>
      <c r="O51" s="449" t="s">
        <v>767</v>
      </c>
      <c r="P51" s="449" t="s">
        <v>744</v>
      </c>
      <c r="Q51" s="449" t="s">
        <v>652</v>
      </c>
      <c r="R51" s="431" t="s">
        <v>42</v>
      </c>
      <c r="S51" s="450" t="s">
        <v>690</v>
      </c>
      <c r="T51" s="408"/>
      <c r="U51" s="408"/>
      <c r="V51" s="141" t="s">
        <v>45</v>
      </c>
      <c r="W51" s="409"/>
      <c r="X51" s="398" t="s">
        <v>232</v>
      </c>
      <c r="Y51" s="399" t="s">
        <v>278</v>
      </c>
      <c r="Z51" s="399" t="s">
        <v>369</v>
      </c>
      <c r="AA51" s="402"/>
      <c r="AB51" s="278">
        <v>48</v>
      </c>
    </row>
    <row r="52" spans="1:28" ht="123.75" customHeight="1">
      <c r="A52" s="203" t="s">
        <v>161</v>
      </c>
      <c r="B52" s="202" t="s">
        <v>102</v>
      </c>
      <c r="C52" s="178" t="s">
        <v>307</v>
      </c>
      <c r="D52" s="388" t="s">
        <v>420</v>
      </c>
      <c r="E52" s="143">
        <v>43160</v>
      </c>
      <c r="F52" s="432"/>
      <c r="G52" s="432"/>
      <c r="H52" s="141" t="s">
        <v>44</v>
      </c>
      <c r="I52" s="432"/>
      <c r="J52" s="432"/>
      <c r="K52" s="432"/>
      <c r="L52" s="432"/>
      <c r="M52" s="141" t="s">
        <v>44</v>
      </c>
      <c r="N52" s="432" t="s">
        <v>651</v>
      </c>
      <c r="O52" s="449" t="s">
        <v>745</v>
      </c>
      <c r="P52" s="460"/>
      <c r="Q52" s="449"/>
      <c r="R52" s="431" t="s">
        <v>44</v>
      </c>
      <c r="S52" s="408" t="s">
        <v>651</v>
      </c>
      <c r="T52" s="408"/>
      <c r="U52" s="408"/>
      <c r="V52" s="141" t="s">
        <v>45</v>
      </c>
      <c r="W52" s="409"/>
      <c r="X52" s="398" t="s">
        <v>232</v>
      </c>
      <c r="Y52" s="399" t="s">
        <v>278</v>
      </c>
      <c r="Z52" s="399" t="s">
        <v>369</v>
      </c>
      <c r="AA52" s="402"/>
      <c r="AB52" s="278">
        <v>49</v>
      </c>
    </row>
    <row r="53" spans="1:28" ht="123.75" customHeight="1">
      <c r="A53" s="203" t="s">
        <v>162</v>
      </c>
      <c r="B53" s="202" t="s">
        <v>102</v>
      </c>
      <c r="C53" s="178" t="s">
        <v>308</v>
      </c>
      <c r="D53" s="388" t="s">
        <v>421</v>
      </c>
      <c r="E53" s="143">
        <v>42856</v>
      </c>
      <c r="F53" s="432" t="s">
        <v>516</v>
      </c>
      <c r="G53" s="432"/>
      <c r="H53" s="141" t="s">
        <v>41</v>
      </c>
      <c r="I53" s="432"/>
      <c r="J53" s="432" t="s">
        <v>576</v>
      </c>
      <c r="K53" s="432"/>
      <c r="L53" s="432"/>
      <c r="M53" s="141" t="s">
        <v>41</v>
      </c>
      <c r="N53" s="432"/>
      <c r="O53" s="449" t="s">
        <v>576</v>
      </c>
      <c r="P53" s="449"/>
      <c r="Q53" s="449"/>
      <c r="R53" s="431" t="s">
        <v>41</v>
      </c>
      <c r="S53" s="450"/>
      <c r="T53" s="408"/>
      <c r="U53" s="408"/>
      <c r="V53" s="141" t="s">
        <v>45</v>
      </c>
      <c r="W53" s="409"/>
      <c r="X53" s="398" t="s">
        <v>232</v>
      </c>
      <c r="Y53" s="399" t="s">
        <v>278</v>
      </c>
      <c r="Z53" s="399" t="s">
        <v>369</v>
      </c>
      <c r="AA53" s="402"/>
      <c r="AB53" s="278">
        <v>50</v>
      </c>
    </row>
    <row r="54" spans="1:28" ht="123.75" customHeight="1">
      <c r="A54" s="203" t="s">
        <v>163</v>
      </c>
      <c r="B54" s="202" t="s">
        <v>102</v>
      </c>
      <c r="C54" s="178" t="s">
        <v>308</v>
      </c>
      <c r="D54" s="388" t="s">
        <v>422</v>
      </c>
      <c r="E54" s="143">
        <v>43160</v>
      </c>
      <c r="F54" s="432" t="s">
        <v>563</v>
      </c>
      <c r="G54" s="432"/>
      <c r="H54" s="141" t="s">
        <v>42</v>
      </c>
      <c r="I54" s="432"/>
      <c r="J54" s="432" t="s">
        <v>638</v>
      </c>
      <c r="K54" s="432"/>
      <c r="L54" s="432"/>
      <c r="M54" s="141" t="s">
        <v>42</v>
      </c>
      <c r="N54" s="432" t="s">
        <v>669</v>
      </c>
      <c r="O54" s="449" t="s">
        <v>746</v>
      </c>
      <c r="P54" s="449"/>
      <c r="Q54" s="449"/>
      <c r="R54" s="431" t="s">
        <v>42</v>
      </c>
      <c r="S54" s="450"/>
      <c r="T54" s="408"/>
      <c r="U54" s="408"/>
      <c r="V54" s="141" t="s">
        <v>45</v>
      </c>
      <c r="W54" s="409"/>
      <c r="X54" s="398" t="s">
        <v>232</v>
      </c>
      <c r="Y54" s="399" t="s">
        <v>278</v>
      </c>
      <c r="Z54" s="399" t="s">
        <v>369</v>
      </c>
      <c r="AA54" s="402"/>
      <c r="AB54" s="278">
        <v>51</v>
      </c>
    </row>
    <row r="55" spans="1:28" ht="123.75" customHeight="1">
      <c r="A55" s="203" t="s">
        <v>199</v>
      </c>
      <c r="B55" s="202" t="s">
        <v>272</v>
      </c>
      <c r="C55" s="178" t="s">
        <v>309</v>
      </c>
      <c r="D55" s="388" t="s">
        <v>423</v>
      </c>
      <c r="E55" s="143">
        <v>42979</v>
      </c>
      <c r="F55" s="432" t="s">
        <v>556</v>
      </c>
      <c r="G55" s="432"/>
      <c r="H55" s="141" t="s">
        <v>42</v>
      </c>
      <c r="I55" s="432"/>
      <c r="J55" s="432" t="s">
        <v>609</v>
      </c>
      <c r="K55" s="432"/>
      <c r="L55" s="432"/>
      <c r="M55" s="141" t="s">
        <v>41</v>
      </c>
      <c r="N55" s="432"/>
      <c r="O55" s="449" t="s">
        <v>750</v>
      </c>
      <c r="P55" s="449"/>
      <c r="Q55" s="449"/>
      <c r="R55" s="431" t="s">
        <v>41</v>
      </c>
      <c r="S55" s="450"/>
      <c r="T55" s="408"/>
      <c r="U55" s="408"/>
      <c r="V55" s="141" t="s">
        <v>45</v>
      </c>
      <c r="W55" s="409"/>
      <c r="X55" s="398" t="s">
        <v>232</v>
      </c>
      <c r="Y55" s="399" t="s">
        <v>276</v>
      </c>
      <c r="Z55" s="399" t="s">
        <v>370</v>
      </c>
      <c r="AA55" s="402"/>
      <c r="AB55" s="278">
        <v>52</v>
      </c>
    </row>
    <row r="56" spans="1:28" ht="150">
      <c r="A56" s="203" t="s">
        <v>310</v>
      </c>
      <c r="B56" s="202" t="s">
        <v>109</v>
      </c>
      <c r="C56" s="178" t="s">
        <v>259</v>
      </c>
      <c r="D56" s="388" t="s">
        <v>424</v>
      </c>
      <c r="E56" s="143">
        <v>43070</v>
      </c>
      <c r="F56" s="432"/>
      <c r="G56" s="432"/>
      <c r="H56" s="141" t="s">
        <v>44</v>
      </c>
      <c r="I56" s="432"/>
      <c r="J56" s="432"/>
      <c r="K56" s="432"/>
      <c r="L56" s="432"/>
      <c r="M56" s="141" t="s">
        <v>44</v>
      </c>
      <c r="N56" s="432"/>
      <c r="O56" s="457" t="s">
        <v>778</v>
      </c>
      <c r="P56" s="449"/>
      <c r="Q56" s="449"/>
      <c r="R56" s="431" t="s">
        <v>41</v>
      </c>
      <c r="S56" s="450"/>
      <c r="T56" s="408"/>
      <c r="U56" s="408"/>
      <c r="V56" s="141" t="s">
        <v>45</v>
      </c>
      <c r="W56" s="409"/>
      <c r="X56" s="398" t="s">
        <v>232</v>
      </c>
      <c r="Y56" s="399" t="s">
        <v>77</v>
      </c>
      <c r="Z56" s="399" t="s">
        <v>370</v>
      </c>
      <c r="AA56" s="402"/>
      <c r="AB56" s="278">
        <v>53</v>
      </c>
    </row>
    <row r="57" spans="1:28" ht="168.75" customHeight="1">
      <c r="A57" s="203" t="s">
        <v>311</v>
      </c>
      <c r="B57" s="202" t="s">
        <v>105</v>
      </c>
      <c r="C57" s="178" t="s">
        <v>312</v>
      </c>
      <c r="D57" s="388" t="s">
        <v>379</v>
      </c>
      <c r="E57" s="143">
        <v>43160</v>
      </c>
      <c r="F57" s="432" t="s">
        <v>492</v>
      </c>
      <c r="G57" s="432" t="s">
        <v>493</v>
      </c>
      <c r="H57" s="141" t="s">
        <v>42</v>
      </c>
      <c r="I57" s="432" t="s">
        <v>540</v>
      </c>
      <c r="J57" s="432" t="s">
        <v>774</v>
      </c>
      <c r="K57" s="432" t="s">
        <v>589</v>
      </c>
      <c r="L57" s="432" t="s">
        <v>649</v>
      </c>
      <c r="M57" s="141" t="s">
        <v>42</v>
      </c>
      <c r="N57" s="432" t="s">
        <v>681</v>
      </c>
      <c r="O57" s="457" t="s">
        <v>772</v>
      </c>
      <c r="P57" s="449" t="s">
        <v>772</v>
      </c>
      <c r="Q57" s="449" t="s">
        <v>735</v>
      </c>
      <c r="R57" s="431" t="s">
        <v>42</v>
      </c>
      <c r="S57" s="450" t="s">
        <v>773</v>
      </c>
      <c r="T57" s="408"/>
      <c r="U57" s="408"/>
      <c r="V57" s="141" t="s">
        <v>45</v>
      </c>
      <c r="W57" s="409"/>
      <c r="X57" s="398" t="s">
        <v>232</v>
      </c>
      <c r="Y57" s="399" t="s">
        <v>77</v>
      </c>
      <c r="Z57" s="399" t="s">
        <v>370</v>
      </c>
      <c r="AA57" s="402"/>
      <c r="AB57" s="278">
        <v>54</v>
      </c>
    </row>
    <row r="58" spans="1:28" ht="123.75" customHeight="1">
      <c r="A58" s="203" t="s">
        <v>313</v>
      </c>
      <c r="B58" s="202" t="s">
        <v>287</v>
      </c>
      <c r="C58" s="178" t="s">
        <v>314</v>
      </c>
      <c r="D58" s="388" t="s">
        <v>425</v>
      </c>
      <c r="E58" s="143">
        <v>42917</v>
      </c>
      <c r="F58" s="432" t="s">
        <v>548</v>
      </c>
      <c r="G58" s="432" t="s">
        <v>505</v>
      </c>
      <c r="H58" s="141" t="s">
        <v>41</v>
      </c>
      <c r="I58" s="432"/>
      <c r="J58" s="432" t="s">
        <v>576</v>
      </c>
      <c r="K58" s="432"/>
      <c r="L58" s="432"/>
      <c r="M58" s="141" t="s">
        <v>41</v>
      </c>
      <c r="N58" s="432"/>
      <c r="O58" s="449" t="s">
        <v>576</v>
      </c>
      <c r="P58" s="449"/>
      <c r="Q58" s="449"/>
      <c r="R58" s="431" t="s">
        <v>41</v>
      </c>
      <c r="S58" s="450"/>
      <c r="T58" s="408"/>
      <c r="U58" s="408"/>
      <c r="V58" s="141" t="s">
        <v>45</v>
      </c>
      <c r="W58" s="409"/>
      <c r="X58" s="398" t="s">
        <v>232</v>
      </c>
      <c r="Y58" s="399" t="s">
        <v>39</v>
      </c>
      <c r="Z58" s="399" t="s">
        <v>369</v>
      </c>
      <c r="AA58" s="402"/>
      <c r="AB58" s="278">
        <v>55</v>
      </c>
    </row>
    <row r="59" spans="1:28" ht="123.75" customHeight="1">
      <c r="A59" s="203" t="s">
        <v>315</v>
      </c>
      <c r="B59" s="202" t="s">
        <v>287</v>
      </c>
      <c r="C59" s="178" t="s">
        <v>314</v>
      </c>
      <c r="D59" s="388" t="s">
        <v>426</v>
      </c>
      <c r="E59" s="143">
        <v>42917</v>
      </c>
      <c r="F59" s="432" t="s">
        <v>549</v>
      </c>
      <c r="G59" s="432" t="s">
        <v>507</v>
      </c>
      <c r="H59" s="141" t="s">
        <v>41</v>
      </c>
      <c r="I59" s="432"/>
      <c r="J59" s="432" t="s">
        <v>576</v>
      </c>
      <c r="K59" s="432"/>
      <c r="L59" s="432"/>
      <c r="M59" s="141" t="s">
        <v>41</v>
      </c>
      <c r="N59" s="432"/>
      <c r="O59" s="449" t="s">
        <v>576</v>
      </c>
      <c r="P59" s="449"/>
      <c r="Q59" s="449"/>
      <c r="R59" s="431" t="s">
        <v>41</v>
      </c>
      <c r="S59" s="450"/>
      <c r="T59" s="408"/>
      <c r="U59" s="408"/>
      <c r="V59" s="141" t="s">
        <v>45</v>
      </c>
      <c r="W59" s="409"/>
      <c r="X59" s="398" t="s">
        <v>232</v>
      </c>
      <c r="Y59" s="399" t="s">
        <v>39</v>
      </c>
      <c r="Z59" s="399" t="s">
        <v>369</v>
      </c>
      <c r="AA59" s="402"/>
      <c r="AB59" s="278">
        <v>56</v>
      </c>
    </row>
    <row r="60" spans="1:28" ht="123.75" customHeight="1">
      <c r="A60" s="203" t="s">
        <v>316</v>
      </c>
      <c r="B60" s="202" t="s">
        <v>287</v>
      </c>
      <c r="C60" s="178" t="s">
        <v>317</v>
      </c>
      <c r="D60" s="388" t="s">
        <v>427</v>
      </c>
      <c r="E60" s="143">
        <v>42917</v>
      </c>
      <c r="F60" s="432" t="s">
        <v>506</v>
      </c>
      <c r="G60" s="432" t="s">
        <v>505</v>
      </c>
      <c r="H60" s="141" t="s">
        <v>41</v>
      </c>
      <c r="I60" s="432"/>
      <c r="J60" s="432" t="s">
        <v>576</v>
      </c>
      <c r="K60" s="432"/>
      <c r="L60" s="432"/>
      <c r="M60" s="141" t="s">
        <v>41</v>
      </c>
      <c r="N60" s="432"/>
      <c r="O60" s="449" t="s">
        <v>576</v>
      </c>
      <c r="P60" s="449"/>
      <c r="Q60" s="449"/>
      <c r="R60" s="431" t="s">
        <v>41</v>
      </c>
      <c r="S60" s="450"/>
      <c r="T60" s="408"/>
      <c r="U60" s="408"/>
      <c r="V60" s="141" t="s">
        <v>45</v>
      </c>
      <c r="W60" s="409"/>
      <c r="X60" s="398" t="s">
        <v>232</v>
      </c>
      <c r="Y60" s="399" t="s">
        <v>39</v>
      </c>
      <c r="Z60" s="399" t="s">
        <v>369</v>
      </c>
      <c r="AA60" s="402"/>
      <c r="AB60" s="278">
        <v>57</v>
      </c>
    </row>
    <row r="61" spans="1:28" ht="123.75" customHeight="1">
      <c r="A61" s="203" t="s">
        <v>318</v>
      </c>
      <c r="B61" s="202" t="s">
        <v>287</v>
      </c>
      <c r="C61" s="178" t="s">
        <v>319</v>
      </c>
      <c r="D61" s="388" t="s">
        <v>428</v>
      </c>
      <c r="E61" s="143">
        <v>43040</v>
      </c>
      <c r="F61" s="432" t="s">
        <v>550</v>
      </c>
      <c r="G61" s="432"/>
      <c r="H61" s="141" t="s">
        <v>42</v>
      </c>
      <c r="I61" s="432"/>
      <c r="J61" s="432" t="s">
        <v>673</v>
      </c>
      <c r="K61" s="432"/>
      <c r="L61" s="432"/>
      <c r="M61" s="141" t="s">
        <v>42</v>
      </c>
      <c r="N61" s="432"/>
      <c r="O61" s="457" t="s">
        <v>765</v>
      </c>
      <c r="P61" s="449"/>
      <c r="Q61" s="449"/>
      <c r="R61" s="431" t="s">
        <v>41</v>
      </c>
      <c r="S61" s="450"/>
      <c r="T61" s="408"/>
      <c r="U61" s="408"/>
      <c r="V61" s="141" t="s">
        <v>45</v>
      </c>
      <c r="W61" s="409"/>
      <c r="X61" s="398" t="s">
        <v>232</v>
      </c>
      <c r="Y61" s="399" t="s">
        <v>39</v>
      </c>
      <c r="Z61" s="399" t="s">
        <v>369</v>
      </c>
      <c r="AA61" s="402"/>
      <c r="AB61" s="278">
        <v>58</v>
      </c>
    </row>
    <row r="62" spans="1:28" ht="123.75" customHeight="1">
      <c r="A62" s="203" t="s">
        <v>320</v>
      </c>
      <c r="B62" s="202" t="s">
        <v>265</v>
      </c>
      <c r="C62" s="178" t="s">
        <v>321</v>
      </c>
      <c r="D62" s="388" t="s">
        <v>429</v>
      </c>
      <c r="E62" s="143">
        <v>43160</v>
      </c>
      <c r="F62" s="432" t="s">
        <v>564</v>
      </c>
      <c r="G62" s="432"/>
      <c r="H62" s="141" t="s">
        <v>42</v>
      </c>
      <c r="I62" s="432"/>
      <c r="J62" s="432" t="s">
        <v>674</v>
      </c>
      <c r="K62" s="432"/>
      <c r="L62" s="432"/>
      <c r="M62" s="141" t="s">
        <v>42</v>
      </c>
      <c r="N62" s="432"/>
      <c r="O62" s="449" t="s">
        <v>707</v>
      </c>
      <c r="P62" s="449"/>
      <c r="Q62" s="449"/>
      <c r="R62" s="431" t="s">
        <v>42</v>
      </c>
      <c r="S62" s="450"/>
      <c r="T62" s="408"/>
      <c r="U62" s="408"/>
      <c r="V62" s="141" t="s">
        <v>45</v>
      </c>
      <c r="W62" s="409"/>
      <c r="X62" s="398" t="s">
        <v>232</v>
      </c>
      <c r="Y62" s="399" t="s">
        <v>39</v>
      </c>
      <c r="Z62" s="399" t="s">
        <v>369</v>
      </c>
      <c r="AA62" s="402"/>
      <c r="AB62" s="278">
        <v>59</v>
      </c>
    </row>
    <row r="63" spans="1:28" ht="135">
      <c r="A63" s="203" t="s">
        <v>322</v>
      </c>
      <c r="B63" s="202" t="s">
        <v>104</v>
      </c>
      <c r="C63" s="178" t="s">
        <v>323</v>
      </c>
      <c r="D63" s="388" t="s">
        <v>430</v>
      </c>
      <c r="E63" s="143">
        <v>43040</v>
      </c>
      <c r="F63" s="432"/>
      <c r="G63" s="432"/>
      <c r="H63" s="141" t="s">
        <v>44</v>
      </c>
      <c r="I63" s="432"/>
      <c r="J63" s="432" t="s">
        <v>579</v>
      </c>
      <c r="K63" s="432"/>
      <c r="L63" s="432"/>
      <c r="M63" s="141" t="s">
        <v>42</v>
      </c>
      <c r="N63" s="432"/>
      <c r="O63" s="449" t="s">
        <v>762</v>
      </c>
      <c r="P63" s="457"/>
      <c r="Q63" s="449"/>
      <c r="R63" s="431" t="s">
        <v>41</v>
      </c>
      <c r="S63" s="450"/>
      <c r="T63" s="408"/>
      <c r="U63" s="408"/>
      <c r="V63" s="141" t="s">
        <v>45</v>
      </c>
      <c r="W63" s="409"/>
      <c r="X63" s="398" t="s">
        <v>232</v>
      </c>
      <c r="Y63" s="399" t="s">
        <v>39</v>
      </c>
      <c r="Z63" s="399" t="s">
        <v>370</v>
      </c>
      <c r="AA63" s="402"/>
      <c r="AB63" s="278">
        <v>60</v>
      </c>
    </row>
    <row r="64" spans="1:28" s="280" customFormat="1" ht="21" hidden="1">
      <c r="A64" s="378" t="s">
        <v>225</v>
      </c>
      <c r="B64" s="383"/>
      <c r="C64" s="384"/>
      <c r="D64" s="385"/>
      <c r="E64" s="385"/>
      <c r="F64" s="385"/>
      <c r="G64" s="385"/>
      <c r="H64" s="385"/>
      <c r="I64" s="385"/>
      <c r="J64" s="385"/>
      <c r="K64" s="385"/>
      <c r="L64" s="385"/>
      <c r="M64" s="385"/>
      <c r="N64" s="385"/>
      <c r="O64" s="440"/>
      <c r="P64" s="440"/>
      <c r="Q64" s="440"/>
      <c r="R64" s="440"/>
      <c r="S64" s="440"/>
      <c r="T64" s="385"/>
      <c r="U64" s="385"/>
      <c r="V64" s="385"/>
      <c r="W64" s="385"/>
      <c r="X64" s="385"/>
      <c r="Y64" s="385"/>
      <c r="Z64" s="385"/>
      <c r="AA64" s="385"/>
      <c r="AB64" s="385">
        <v>61</v>
      </c>
    </row>
    <row r="65" spans="1:28" ht="181.5" hidden="1" customHeight="1">
      <c r="A65" s="203" t="s">
        <v>203</v>
      </c>
      <c r="B65" s="202" t="s">
        <v>271</v>
      </c>
      <c r="C65" s="177" t="s">
        <v>324</v>
      </c>
      <c r="D65" s="388" t="s">
        <v>431</v>
      </c>
      <c r="E65" s="143">
        <v>43070</v>
      </c>
      <c r="F65" s="432" t="s">
        <v>513</v>
      </c>
      <c r="G65" s="432"/>
      <c r="H65" s="141" t="s">
        <v>42</v>
      </c>
      <c r="I65" s="432"/>
      <c r="J65" s="432" t="s">
        <v>667</v>
      </c>
      <c r="K65" s="432"/>
      <c r="L65" s="432"/>
      <c r="M65" s="141" t="s">
        <v>41</v>
      </c>
      <c r="N65" s="432"/>
      <c r="O65" s="449" t="s">
        <v>684</v>
      </c>
      <c r="P65" s="449"/>
      <c r="Q65" s="449"/>
      <c r="R65" s="431" t="s">
        <v>41</v>
      </c>
      <c r="S65" s="450"/>
      <c r="T65" s="408"/>
      <c r="U65" s="408"/>
      <c r="V65" s="141" t="s">
        <v>45</v>
      </c>
      <c r="W65" s="430"/>
      <c r="X65" s="142" t="s">
        <v>233</v>
      </c>
      <c r="Y65" s="176" t="s">
        <v>95</v>
      </c>
      <c r="Z65" s="176" t="s">
        <v>369</v>
      </c>
      <c r="AA65" s="141"/>
      <c r="AB65" s="278">
        <v>62</v>
      </c>
    </row>
    <row r="66" spans="1:28" ht="181.5" hidden="1" customHeight="1">
      <c r="A66" s="203" t="s">
        <v>204</v>
      </c>
      <c r="B66" s="202" t="s">
        <v>271</v>
      </c>
      <c r="C66" s="177" t="s">
        <v>324</v>
      </c>
      <c r="D66" s="388" t="s">
        <v>432</v>
      </c>
      <c r="E66" s="143">
        <v>42917</v>
      </c>
      <c r="F66" s="432" t="s">
        <v>557</v>
      </c>
      <c r="G66" s="432"/>
      <c r="H66" s="141" t="s">
        <v>41</v>
      </c>
      <c r="I66" s="432"/>
      <c r="J66" s="432" t="s">
        <v>576</v>
      </c>
      <c r="K66" s="432"/>
      <c r="L66" s="432"/>
      <c r="M66" s="141" t="s">
        <v>41</v>
      </c>
      <c r="N66" s="432"/>
      <c r="O66" s="449" t="s">
        <v>576</v>
      </c>
      <c r="P66" s="449"/>
      <c r="Q66" s="449"/>
      <c r="R66" s="431" t="s">
        <v>41</v>
      </c>
      <c r="S66" s="450"/>
      <c r="T66" s="408"/>
      <c r="U66" s="408"/>
      <c r="V66" s="141" t="s">
        <v>45</v>
      </c>
      <c r="W66" s="430"/>
      <c r="X66" s="142" t="s">
        <v>233</v>
      </c>
      <c r="Y66" s="176" t="s">
        <v>95</v>
      </c>
      <c r="Z66" s="176" t="s">
        <v>369</v>
      </c>
      <c r="AA66" s="141"/>
      <c r="AB66" s="278">
        <v>63</v>
      </c>
    </row>
    <row r="67" spans="1:28" ht="181.5" hidden="1" customHeight="1">
      <c r="A67" s="203" t="s">
        <v>205</v>
      </c>
      <c r="B67" s="202" t="s">
        <v>271</v>
      </c>
      <c r="C67" s="177" t="s">
        <v>324</v>
      </c>
      <c r="D67" s="388" t="s">
        <v>433</v>
      </c>
      <c r="E67" s="143">
        <v>43160</v>
      </c>
      <c r="F67" s="432">
        <v>11</v>
      </c>
      <c r="G67" s="432">
        <v>20</v>
      </c>
      <c r="H67" s="141" t="s">
        <v>42</v>
      </c>
      <c r="I67" s="432"/>
      <c r="J67" s="432">
        <v>5</v>
      </c>
      <c r="K67" s="432">
        <v>16</v>
      </c>
      <c r="L67" s="432">
        <v>25</v>
      </c>
      <c r="M67" s="141" t="s">
        <v>42</v>
      </c>
      <c r="N67" s="432"/>
      <c r="O67" s="449">
        <v>7</v>
      </c>
      <c r="P67" s="449">
        <v>23</v>
      </c>
      <c r="Q67" s="449">
        <v>25</v>
      </c>
      <c r="R67" s="431" t="s">
        <v>41</v>
      </c>
      <c r="S67" s="450"/>
      <c r="T67" s="408"/>
      <c r="U67" s="408"/>
      <c r="V67" s="141" t="s">
        <v>45</v>
      </c>
      <c r="W67" s="430"/>
      <c r="X67" s="142" t="s">
        <v>233</v>
      </c>
      <c r="Y67" s="176" t="s">
        <v>95</v>
      </c>
      <c r="Z67" s="176" t="s">
        <v>369</v>
      </c>
      <c r="AA67" s="141"/>
      <c r="AB67" s="278">
        <v>64</v>
      </c>
    </row>
    <row r="68" spans="1:28" ht="181.5" hidden="1" customHeight="1">
      <c r="A68" s="203" t="s">
        <v>206</v>
      </c>
      <c r="B68" s="202" t="s">
        <v>271</v>
      </c>
      <c r="C68" s="177" t="s">
        <v>324</v>
      </c>
      <c r="D68" s="388" t="s">
        <v>434</v>
      </c>
      <c r="E68" s="143">
        <v>43160</v>
      </c>
      <c r="F68" s="433">
        <v>0.83</v>
      </c>
      <c r="G68" s="433">
        <v>0.8</v>
      </c>
      <c r="H68" s="141" t="s">
        <v>42</v>
      </c>
      <c r="I68" s="432"/>
      <c r="J68" s="433">
        <v>0.8</v>
      </c>
      <c r="K68" s="433">
        <v>0.8</v>
      </c>
      <c r="L68" s="433">
        <v>0.8</v>
      </c>
      <c r="M68" s="141" t="s">
        <v>42</v>
      </c>
      <c r="N68" s="432"/>
      <c r="O68" s="456">
        <v>0.82</v>
      </c>
      <c r="P68" s="456">
        <v>0.82</v>
      </c>
      <c r="Q68" s="456">
        <v>0.8</v>
      </c>
      <c r="R68" s="431" t="s">
        <v>42</v>
      </c>
      <c r="S68" s="450"/>
      <c r="T68" s="408"/>
      <c r="U68" s="408"/>
      <c r="V68" s="141" t="s">
        <v>45</v>
      </c>
      <c r="W68" s="430"/>
      <c r="X68" s="142" t="s">
        <v>233</v>
      </c>
      <c r="Y68" s="176" t="s">
        <v>95</v>
      </c>
      <c r="Z68" s="176" t="s">
        <v>369</v>
      </c>
      <c r="AA68" s="141"/>
      <c r="AB68" s="278">
        <v>65</v>
      </c>
    </row>
    <row r="69" spans="1:28" ht="181.5" hidden="1" customHeight="1">
      <c r="A69" s="203" t="s">
        <v>207</v>
      </c>
      <c r="B69" s="202" t="s">
        <v>469</v>
      </c>
      <c r="C69" s="177" t="s">
        <v>325</v>
      </c>
      <c r="D69" s="388" t="s">
        <v>435</v>
      </c>
      <c r="E69" s="143">
        <v>42856</v>
      </c>
      <c r="F69" s="432" t="s">
        <v>534</v>
      </c>
      <c r="G69" s="432"/>
      <c r="H69" s="141" t="s">
        <v>41</v>
      </c>
      <c r="I69" s="432" t="s">
        <v>535</v>
      </c>
      <c r="J69" s="432" t="s">
        <v>576</v>
      </c>
      <c r="K69" s="432"/>
      <c r="L69" s="432"/>
      <c r="M69" s="141" t="s">
        <v>41</v>
      </c>
      <c r="N69" s="432"/>
      <c r="O69" s="449" t="s">
        <v>576</v>
      </c>
      <c r="P69" s="449"/>
      <c r="Q69" s="449"/>
      <c r="R69" s="431" t="s">
        <v>41</v>
      </c>
      <c r="S69" s="450"/>
      <c r="T69" s="408"/>
      <c r="U69" s="408"/>
      <c r="V69" s="141" t="s">
        <v>45</v>
      </c>
      <c r="W69" s="430"/>
      <c r="X69" s="142" t="s">
        <v>233</v>
      </c>
      <c r="Y69" s="176" t="s">
        <v>274</v>
      </c>
      <c r="Z69" s="176" t="s">
        <v>371</v>
      </c>
      <c r="AA69" s="141"/>
      <c r="AB69" s="278">
        <v>66</v>
      </c>
    </row>
    <row r="70" spans="1:28" ht="181.5" hidden="1" customHeight="1">
      <c r="A70" s="203" t="s">
        <v>208</v>
      </c>
      <c r="B70" s="202" t="s">
        <v>469</v>
      </c>
      <c r="C70" s="177" t="s">
        <v>590</v>
      </c>
      <c r="D70" s="388" t="s">
        <v>591</v>
      </c>
      <c r="E70" s="143">
        <v>43040</v>
      </c>
      <c r="F70" s="432"/>
      <c r="G70" s="432"/>
      <c r="H70" s="141" t="s">
        <v>41</v>
      </c>
      <c r="I70" s="432"/>
      <c r="J70" s="432" t="s">
        <v>595</v>
      </c>
      <c r="K70" s="432"/>
      <c r="L70" s="432"/>
      <c r="M70" s="141" t="s">
        <v>41</v>
      </c>
      <c r="N70" s="432"/>
      <c r="O70" s="449" t="s">
        <v>757</v>
      </c>
      <c r="P70" s="449"/>
      <c r="Q70" s="449"/>
      <c r="R70" s="431" t="s">
        <v>41</v>
      </c>
      <c r="S70" s="450"/>
      <c r="T70" s="408"/>
      <c r="U70" s="408"/>
      <c r="V70" s="141" t="s">
        <v>45</v>
      </c>
      <c r="W70" s="430"/>
      <c r="X70" s="142" t="s">
        <v>233</v>
      </c>
      <c r="Y70" s="176" t="s">
        <v>274</v>
      </c>
      <c r="Z70" s="176" t="s">
        <v>371</v>
      </c>
      <c r="AA70" s="141"/>
      <c r="AB70" s="278">
        <v>67</v>
      </c>
    </row>
    <row r="71" spans="1:28" ht="181.5" hidden="1" customHeight="1">
      <c r="A71" s="203" t="s">
        <v>209</v>
      </c>
      <c r="B71" s="202" t="s">
        <v>469</v>
      </c>
      <c r="C71" s="177" t="s">
        <v>590</v>
      </c>
      <c r="D71" s="388" t="s">
        <v>592</v>
      </c>
      <c r="E71" s="143">
        <v>43009</v>
      </c>
      <c r="F71" s="432"/>
      <c r="G71" s="432"/>
      <c r="H71" s="141" t="s">
        <v>42</v>
      </c>
      <c r="I71" s="432"/>
      <c r="J71" s="432" t="s">
        <v>596</v>
      </c>
      <c r="K71" s="432"/>
      <c r="L71" s="432"/>
      <c r="M71" s="141" t="s">
        <v>42</v>
      </c>
      <c r="N71" s="432"/>
      <c r="O71" s="449" t="s">
        <v>691</v>
      </c>
      <c r="P71" s="449"/>
      <c r="Q71" s="449"/>
      <c r="R71" s="431" t="s">
        <v>41</v>
      </c>
      <c r="S71" s="450"/>
      <c r="T71" s="408"/>
      <c r="U71" s="408"/>
      <c r="V71" s="141" t="s">
        <v>45</v>
      </c>
      <c r="W71" s="430"/>
      <c r="X71" s="142" t="s">
        <v>233</v>
      </c>
      <c r="Y71" s="176" t="s">
        <v>274</v>
      </c>
      <c r="Z71" s="176" t="s">
        <v>371</v>
      </c>
      <c r="AA71" s="141"/>
      <c r="AB71" s="278">
        <v>68</v>
      </c>
    </row>
    <row r="72" spans="1:28" ht="181.5" hidden="1" customHeight="1">
      <c r="A72" s="203" t="s">
        <v>210</v>
      </c>
      <c r="B72" s="202" t="s">
        <v>469</v>
      </c>
      <c r="C72" s="177" t="s">
        <v>590</v>
      </c>
      <c r="D72" s="388" t="s">
        <v>593</v>
      </c>
      <c r="E72" s="143"/>
      <c r="F72" s="432"/>
      <c r="G72" s="432"/>
      <c r="H72" s="141" t="s">
        <v>44</v>
      </c>
      <c r="I72" s="432"/>
      <c r="J72" s="432"/>
      <c r="K72" s="432"/>
      <c r="L72" s="432"/>
      <c r="M72" s="141" t="s">
        <v>44</v>
      </c>
      <c r="N72" s="432"/>
      <c r="O72" s="449"/>
      <c r="P72" s="449"/>
      <c r="Q72" s="449"/>
      <c r="R72" s="431" t="s">
        <v>44</v>
      </c>
      <c r="S72" s="450"/>
      <c r="T72" s="408"/>
      <c r="U72" s="408"/>
      <c r="V72" s="141" t="s">
        <v>45</v>
      </c>
      <c r="W72" s="430"/>
      <c r="X72" s="142" t="s">
        <v>233</v>
      </c>
      <c r="Y72" s="176" t="s">
        <v>274</v>
      </c>
      <c r="Z72" s="176" t="s">
        <v>371</v>
      </c>
      <c r="AA72" s="141"/>
      <c r="AB72" s="278">
        <v>69</v>
      </c>
    </row>
    <row r="73" spans="1:28" ht="181.5" hidden="1" customHeight="1">
      <c r="A73" s="203" t="s">
        <v>211</v>
      </c>
      <c r="B73" s="202" t="s">
        <v>469</v>
      </c>
      <c r="C73" s="177" t="s">
        <v>325</v>
      </c>
      <c r="D73" s="388" t="s">
        <v>326</v>
      </c>
      <c r="E73" s="143"/>
      <c r="F73" s="432"/>
      <c r="G73" s="432"/>
      <c r="H73" s="141" t="s">
        <v>29</v>
      </c>
      <c r="I73" s="432"/>
      <c r="J73" s="432"/>
      <c r="K73" s="432"/>
      <c r="L73" s="432"/>
      <c r="M73" s="141" t="s">
        <v>29</v>
      </c>
      <c r="N73" s="432"/>
      <c r="O73" s="449"/>
      <c r="P73" s="449"/>
      <c r="Q73" s="449"/>
      <c r="R73" s="431" t="s">
        <v>29</v>
      </c>
      <c r="S73" s="450"/>
      <c r="T73" s="408"/>
      <c r="U73" s="408"/>
      <c r="V73" s="141" t="s">
        <v>45</v>
      </c>
      <c r="W73" s="430"/>
      <c r="X73" s="142" t="s">
        <v>233</v>
      </c>
      <c r="Y73" s="176" t="s">
        <v>274</v>
      </c>
      <c r="Z73" s="176" t="s">
        <v>371</v>
      </c>
      <c r="AA73" s="141"/>
      <c r="AB73" s="278">
        <v>70</v>
      </c>
    </row>
    <row r="74" spans="1:28" ht="181.5" hidden="1" customHeight="1">
      <c r="A74" s="203" t="s">
        <v>212</v>
      </c>
      <c r="B74" s="202" t="s">
        <v>469</v>
      </c>
      <c r="C74" s="177" t="s">
        <v>327</v>
      </c>
      <c r="D74" s="414" t="s">
        <v>328</v>
      </c>
      <c r="E74" s="143"/>
      <c r="F74" s="432"/>
      <c r="G74" s="432"/>
      <c r="H74" s="141" t="s">
        <v>44</v>
      </c>
      <c r="I74" s="432"/>
      <c r="J74" s="432"/>
      <c r="K74" s="432"/>
      <c r="L74" s="432"/>
      <c r="M74" s="141" t="s">
        <v>44</v>
      </c>
      <c r="N74" s="432"/>
      <c r="O74" s="449"/>
      <c r="P74" s="449"/>
      <c r="Q74" s="449"/>
      <c r="R74" s="431" t="s">
        <v>44</v>
      </c>
      <c r="S74" s="450"/>
      <c r="T74" s="408"/>
      <c r="U74" s="408"/>
      <c r="V74" s="141" t="s">
        <v>45</v>
      </c>
      <c r="W74" s="430"/>
      <c r="X74" s="142" t="s">
        <v>233</v>
      </c>
      <c r="Y74" s="176" t="s">
        <v>274</v>
      </c>
      <c r="Z74" s="176" t="s">
        <v>371</v>
      </c>
      <c r="AA74" s="141"/>
      <c r="AB74" s="278">
        <v>71</v>
      </c>
    </row>
    <row r="75" spans="1:28" ht="181.5" hidden="1" customHeight="1">
      <c r="A75" s="203" t="s">
        <v>226</v>
      </c>
      <c r="B75" s="202" t="s">
        <v>469</v>
      </c>
      <c r="C75" s="177" t="s">
        <v>329</v>
      </c>
      <c r="D75" s="388" t="s">
        <v>436</v>
      </c>
      <c r="E75" s="143">
        <v>42979</v>
      </c>
      <c r="F75" s="432"/>
      <c r="G75" s="432"/>
      <c r="H75" s="141" t="s">
        <v>44</v>
      </c>
      <c r="I75" s="432"/>
      <c r="J75" s="432" t="s">
        <v>597</v>
      </c>
      <c r="K75" s="432"/>
      <c r="L75" s="432"/>
      <c r="M75" s="141" t="s">
        <v>41</v>
      </c>
      <c r="N75" s="432"/>
      <c r="O75" s="449" t="s">
        <v>757</v>
      </c>
      <c r="P75" s="449"/>
      <c r="Q75" s="449"/>
      <c r="R75" s="431" t="s">
        <v>41</v>
      </c>
      <c r="S75" s="450"/>
      <c r="T75" s="408"/>
      <c r="U75" s="408"/>
      <c r="V75" s="141" t="s">
        <v>45</v>
      </c>
      <c r="W75" s="430"/>
      <c r="X75" s="142" t="s">
        <v>233</v>
      </c>
      <c r="Y75" s="176" t="s">
        <v>274</v>
      </c>
      <c r="Z75" s="176" t="s">
        <v>371</v>
      </c>
      <c r="AA75" s="141"/>
      <c r="AB75" s="278">
        <v>72</v>
      </c>
    </row>
    <row r="76" spans="1:28" ht="181.5" hidden="1" customHeight="1">
      <c r="A76" s="203" t="s">
        <v>227</v>
      </c>
      <c r="B76" s="202" t="s">
        <v>469</v>
      </c>
      <c r="C76" s="177" t="s">
        <v>330</v>
      </c>
      <c r="D76" s="388" t="s">
        <v>437</v>
      </c>
      <c r="E76" s="143">
        <v>43160</v>
      </c>
      <c r="F76" s="432" t="s">
        <v>558</v>
      </c>
      <c r="G76" s="432"/>
      <c r="H76" s="141" t="s">
        <v>42</v>
      </c>
      <c r="I76" s="432" t="s">
        <v>533</v>
      </c>
      <c r="J76" s="432" t="s">
        <v>598</v>
      </c>
      <c r="K76" s="432"/>
      <c r="L76" s="432"/>
      <c r="M76" s="141" t="s">
        <v>42</v>
      </c>
      <c r="N76" s="432"/>
      <c r="O76" s="449" t="s">
        <v>692</v>
      </c>
      <c r="P76" s="449">
        <v>2</v>
      </c>
      <c r="Q76" s="449">
        <v>3</v>
      </c>
      <c r="R76" s="431" t="s">
        <v>42</v>
      </c>
      <c r="S76" s="450"/>
      <c r="T76" s="408"/>
      <c r="U76" s="408"/>
      <c r="V76" s="141" t="s">
        <v>45</v>
      </c>
      <c r="W76" s="430"/>
      <c r="X76" s="142" t="s">
        <v>233</v>
      </c>
      <c r="Y76" s="176" t="s">
        <v>274</v>
      </c>
      <c r="Z76" s="176" t="s">
        <v>371</v>
      </c>
      <c r="AA76" s="141"/>
      <c r="AB76" s="278">
        <v>73</v>
      </c>
    </row>
    <row r="77" spans="1:28" ht="181.5" hidden="1" customHeight="1">
      <c r="A77" s="203" t="s">
        <v>213</v>
      </c>
      <c r="B77" s="202" t="s">
        <v>272</v>
      </c>
      <c r="C77" s="177" t="s">
        <v>331</v>
      </c>
      <c r="D77" s="388" t="s">
        <v>438</v>
      </c>
      <c r="E77" s="143">
        <v>43160</v>
      </c>
      <c r="F77" s="432"/>
      <c r="G77" s="432"/>
      <c r="H77" s="141" t="s">
        <v>44</v>
      </c>
      <c r="I77" s="432"/>
      <c r="J77" s="432"/>
      <c r="K77" s="432"/>
      <c r="L77" s="432"/>
      <c r="M77" s="141" t="s">
        <v>44</v>
      </c>
      <c r="N77" s="432"/>
      <c r="O77" s="449" t="s">
        <v>751</v>
      </c>
      <c r="P77" s="449"/>
      <c r="Q77" s="449"/>
      <c r="R77" s="431" t="s">
        <v>42</v>
      </c>
      <c r="S77" s="450"/>
      <c r="T77" s="408"/>
      <c r="U77" s="408"/>
      <c r="V77" s="141" t="s">
        <v>45</v>
      </c>
      <c r="W77" s="430"/>
      <c r="X77" s="142" t="s">
        <v>233</v>
      </c>
      <c r="Y77" s="176" t="s">
        <v>276</v>
      </c>
      <c r="Z77" s="176" t="s">
        <v>370</v>
      </c>
      <c r="AA77" s="141"/>
      <c r="AB77" s="278">
        <v>74</v>
      </c>
    </row>
    <row r="78" spans="1:28" ht="181.5" hidden="1" customHeight="1">
      <c r="A78" s="203" t="s">
        <v>214</v>
      </c>
      <c r="B78" s="202" t="s">
        <v>106</v>
      </c>
      <c r="C78" s="177" t="s">
        <v>260</v>
      </c>
      <c r="D78" s="388" t="s">
        <v>261</v>
      </c>
      <c r="E78" s="143">
        <v>43160</v>
      </c>
      <c r="F78" s="432" t="s">
        <v>478</v>
      </c>
      <c r="G78" s="432"/>
      <c r="H78" s="141" t="s">
        <v>42</v>
      </c>
      <c r="I78" s="432"/>
      <c r="J78" s="432" t="s">
        <v>478</v>
      </c>
      <c r="K78" s="432"/>
      <c r="L78" s="432"/>
      <c r="M78" s="141" t="s">
        <v>42</v>
      </c>
      <c r="N78" s="432"/>
      <c r="O78" s="449" t="s">
        <v>478</v>
      </c>
      <c r="P78" s="449"/>
      <c r="Q78" s="449"/>
      <c r="R78" s="431" t="s">
        <v>42</v>
      </c>
      <c r="S78" s="450"/>
      <c r="T78" s="408"/>
      <c r="U78" s="408"/>
      <c r="V78" s="141" t="s">
        <v>45</v>
      </c>
      <c r="W78" s="430"/>
      <c r="X78" s="142" t="s">
        <v>233</v>
      </c>
      <c r="Y78" s="176" t="s">
        <v>77</v>
      </c>
      <c r="Z78" s="176" t="s">
        <v>370</v>
      </c>
      <c r="AA78" s="141"/>
      <c r="AB78" s="278">
        <v>75</v>
      </c>
    </row>
    <row r="79" spans="1:28" ht="181.5" hidden="1" customHeight="1">
      <c r="A79" s="203" t="s">
        <v>215</v>
      </c>
      <c r="B79" s="202" t="s">
        <v>272</v>
      </c>
      <c r="C79" s="177" t="s">
        <v>332</v>
      </c>
      <c r="D79" s="388" t="s">
        <v>262</v>
      </c>
      <c r="E79" s="143">
        <v>43160</v>
      </c>
      <c r="F79" s="434" t="s">
        <v>530</v>
      </c>
      <c r="G79" s="435">
        <v>1</v>
      </c>
      <c r="H79" s="141" t="s">
        <v>42</v>
      </c>
      <c r="I79" s="432"/>
      <c r="J79" s="434" t="s">
        <v>659</v>
      </c>
      <c r="K79" s="432" t="s">
        <v>664</v>
      </c>
      <c r="L79" s="432" t="s">
        <v>676</v>
      </c>
      <c r="M79" s="141" t="s">
        <v>42</v>
      </c>
      <c r="N79" s="432"/>
      <c r="O79" s="449" t="s">
        <v>738</v>
      </c>
      <c r="P79" s="456" t="s">
        <v>752</v>
      </c>
      <c r="Q79" s="449" t="s">
        <v>755</v>
      </c>
      <c r="R79" s="431" t="s">
        <v>42</v>
      </c>
      <c r="S79" s="450"/>
      <c r="T79" s="408"/>
      <c r="U79" s="408"/>
      <c r="V79" s="141" t="s">
        <v>45</v>
      </c>
      <c r="W79" s="430"/>
      <c r="X79" s="142" t="s">
        <v>233</v>
      </c>
      <c r="Y79" s="176" t="s">
        <v>276</v>
      </c>
      <c r="Z79" s="176" t="s">
        <v>370</v>
      </c>
      <c r="AA79" s="141"/>
      <c r="AB79" s="278">
        <v>76</v>
      </c>
    </row>
    <row r="80" spans="1:28" ht="181.5" hidden="1" customHeight="1">
      <c r="A80" s="203" t="s">
        <v>216</v>
      </c>
      <c r="B80" s="202" t="s">
        <v>272</v>
      </c>
      <c r="C80" s="177" t="s">
        <v>333</v>
      </c>
      <c r="D80" s="388" t="s">
        <v>262</v>
      </c>
      <c r="E80" s="143">
        <v>43160</v>
      </c>
      <c r="F80" s="432" t="s">
        <v>531</v>
      </c>
      <c r="G80" s="435">
        <v>0.95</v>
      </c>
      <c r="H80" s="141" t="s">
        <v>42</v>
      </c>
      <c r="I80" s="432"/>
      <c r="J80" s="432" t="s">
        <v>660</v>
      </c>
      <c r="K80" s="432" t="s">
        <v>663</v>
      </c>
      <c r="L80" s="432" t="s">
        <v>676</v>
      </c>
      <c r="M80" s="141" t="s">
        <v>42</v>
      </c>
      <c r="N80" s="432"/>
      <c r="O80" s="449" t="s">
        <v>756</v>
      </c>
      <c r="P80" s="456" t="s">
        <v>753</v>
      </c>
      <c r="Q80" s="449"/>
      <c r="R80" s="431" t="s">
        <v>42</v>
      </c>
      <c r="S80" s="450"/>
      <c r="T80" s="408"/>
      <c r="U80" s="408"/>
      <c r="V80" s="141" t="s">
        <v>45</v>
      </c>
      <c r="W80" s="430"/>
      <c r="X80" s="142" t="s">
        <v>233</v>
      </c>
      <c r="Y80" s="176" t="s">
        <v>276</v>
      </c>
      <c r="Z80" s="176" t="s">
        <v>370</v>
      </c>
      <c r="AA80" s="141"/>
      <c r="AB80" s="278">
        <v>77</v>
      </c>
    </row>
    <row r="81" spans="1:28" ht="181.5" hidden="1" customHeight="1">
      <c r="A81" s="203" t="s">
        <v>217</v>
      </c>
      <c r="B81" s="202" t="s">
        <v>272</v>
      </c>
      <c r="C81" s="177" t="s">
        <v>334</v>
      </c>
      <c r="D81" s="388" t="s">
        <v>262</v>
      </c>
      <c r="E81" s="143">
        <v>43160</v>
      </c>
      <c r="F81" s="434" t="s">
        <v>532</v>
      </c>
      <c r="G81" s="435">
        <v>0.97</v>
      </c>
      <c r="H81" s="141" t="s">
        <v>42</v>
      </c>
      <c r="I81" s="432"/>
      <c r="J81" s="434" t="s">
        <v>661</v>
      </c>
      <c r="K81" s="432" t="s">
        <v>662</v>
      </c>
      <c r="L81" s="432" t="s">
        <v>676</v>
      </c>
      <c r="M81" s="141" t="s">
        <v>42</v>
      </c>
      <c r="N81" s="432"/>
      <c r="O81" s="449" t="s">
        <v>739</v>
      </c>
      <c r="P81" s="456" t="s">
        <v>754</v>
      </c>
      <c r="Q81" s="449"/>
      <c r="R81" s="431" t="s">
        <v>42</v>
      </c>
      <c r="S81" s="450"/>
      <c r="T81" s="408"/>
      <c r="U81" s="408"/>
      <c r="V81" s="141" t="s">
        <v>45</v>
      </c>
      <c r="W81" s="430"/>
      <c r="X81" s="142" t="s">
        <v>233</v>
      </c>
      <c r="Y81" s="176" t="s">
        <v>276</v>
      </c>
      <c r="Z81" s="176" t="s">
        <v>370</v>
      </c>
      <c r="AA81" s="141"/>
      <c r="AB81" s="278">
        <v>78</v>
      </c>
    </row>
    <row r="82" spans="1:28" ht="219" hidden="1" customHeight="1">
      <c r="A82" s="203" t="s">
        <v>218</v>
      </c>
      <c r="B82" s="202" t="s">
        <v>272</v>
      </c>
      <c r="C82" s="177" t="s">
        <v>335</v>
      </c>
      <c r="D82" s="388" t="s">
        <v>439</v>
      </c>
      <c r="E82" s="143">
        <v>43160</v>
      </c>
      <c r="F82" s="432" t="s">
        <v>511</v>
      </c>
      <c r="G82" s="432"/>
      <c r="H82" s="141" t="s">
        <v>42</v>
      </c>
      <c r="I82" s="432"/>
      <c r="J82" s="432" t="s">
        <v>580</v>
      </c>
      <c r="K82" s="432"/>
      <c r="L82" s="432"/>
      <c r="M82" s="141" t="s">
        <v>42</v>
      </c>
      <c r="N82" s="432"/>
      <c r="O82" s="449" t="s">
        <v>768</v>
      </c>
      <c r="P82" s="449"/>
      <c r="Q82" s="449"/>
      <c r="R82" s="431" t="s">
        <v>27</v>
      </c>
      <c r="S82" s="450" t="s">
        <v>776</v>
      </c>
      <c r="T82" s="408"/>
      <c r="U82" s="408"/>
      <c r="V82" s="141" t="s">
        <v>45</v>
      </c>
      <c r="W82" s="430"/>
      <c r="X82" s="142" t="s">
        <v>233</v>
      </c>
      <c r="Y82" s="176" t="s">
        <v>276</v>
      </c>
      <c r="Z82" s="176" t="s">
        <v>370</v>
      </c>
      <c r="AA82" s="141"/>
      <c r="AB82" s="278">
        <v>79</v>
      </c>
    </row>
    <row r="83" spans="1:28" ht="181.5" hidden="1" customHeight="1">
      <c r="A83" s="203" t="s">
        <v>219</v>
      </c>
      <c r="B83" s="202" t="s">
        <v>272</v>
      </c>
      <c r="C83" s="177" t="s">
        <v>336</v>
      </c>
      <c r="D83" s="388" t="s">
        <v>440</v>
      </c>
      <c r="E83" s="143">
        <v>42979</v>
      </c>
      <c r="F83" s="432" t="s">
        <v>519</v>
      </c>
      <c r="G83" s="432"/>
      <c r="H83" s="141" t="s">
        <v>42</v>
      </c>
      <c r="I83" s="432"/>
      <c r="J83" s="432" t="s">
        <v>653</v>
      </c>
      <c r="K83" s="432"/>
      <c r="L83" s="432"/>
      <c r="M83" s="141" t="s">
        <v>41</v>
      </c>
      <c r="N83" s="432"/>
      <c r="O83" s="449" t="s">
        <v>757</v>
      </c>
      <c r="P83" s="449"/>
      <c r="Q83" s="449"/>
      <c r="R83" s="431" t="s">
        <v>41</v>
      </c>
      <c r="S83" s="450"/>
      <c r="T83" s="408"/>
      <c r="U83" s="408"/>
      <c r="V83" s="141" t="s">
        <v>45</v>
      </c>
      <c r="W83" s="430"/>
      <c r="X83" s="142" t="s">
        <v>233</v>
      </c>
      <c r="Y83" s="176" t="s">
        <v>276</v>
      </c>
      <c r="Z83" s="176" t="s">
        <v>370</v>
      </c>
      <c r="AA83" s="141"/>
      <c r="AB83" s="278">
        <v>80</v>
      </c>
    </row>
    <row r="84" spans="1:28" ht="181.5" hidden="1" customHeight="1">
      <c r="A84" s="203" t="s">
        <v>220</v>
      </c>
      <c r="B84" s="202" t="s">
        <v>272</v>
      </c>
      <c r="C84" s="177" t="s">
        <v>337</v>
      </c>
      <c r="D84" s="388" t="s">
        <v>441</v>
      </c>
      <c r="E84" s="143">
        <v>43160</v>
      </c>
      <c r="F84" s="432" t="s">
        <v>520</v>
      </c>
      <c r="G84" s="432"/>
      <c r="H84" s="141" t="s">
        <v>42</v>
      </c>
      <c r="I84" s="432"/>
      <c r="J84" s="432" t="s">
        <v>612</v>
      </c>
      <c r="K84" s="432"/>
      <c r="L84" s="432"/>
      <c r="M84" s="141" t="s">
        <v>42</v>
      </c>
      <c r="N84" s="432"/>
      <c r="O84" s="449" t="s">
        <v>740</v>
      </c>
      <c r="P84" s="449"/>
      <c r="Q84" s="449"/>
      <c r="R84" s="431" t="s">
        <v>42</v>
      </c>
      <c r="S84" s="450"/>
      <c r="T84" s="408"/>
      <c r="U84" s="408"/>
      <c r="V84" s="141" t="s">
        <v>45</v>
      </c>
      <c r="W84" s="430"/>
      <c r="X84" s="142" t="s">
        <v>233</v>
      </c>
      <c r="Y84" s="176" t="s">
        <v>276</v>
      </c>
      <c r="Z84" s="176" t="s">
        <v>370</v>
      </c>
      <c r="AA84" s="141"/>
      <c r="AB84" s="278">
        <v>81</v>
      </c>
    </row>
    <row r="85" spans="1:28" ht="181.5" hidden="1" customHeight="1">
      <c r="A85" s="203" t="s">
        <v>221</v>
      </c>
      <c r="B85" s="202" t="s">
        <v>263</v>
      </c>
      <c r="C85" s="177" t="s">
        <v>338</v>
      </c>
      <c r="D85" s="388" t="s">
        <v>442</v>
      </c>
      <c r="E85" s="143">
        <v>43160</v>
      </c>
      <c r="F85" s="432"/>
      <c r="G85" s="432"/>
      <c r="H85" s="141" t="s">
        <v>44</v>
      </c>
      <c r="I85" s="432"/>
      <c r="J85" s="432" t="s">
        <v>637</v>
      </c>
      <c r="K85" s="432"/>
      <c r="L85" s="432"/>
      <c r="M85" s="141" t="s">
        <v>42</v>
      </c>
      <c r="N85" s="432"/>
      <c r="O85" s="457" t="s">
        <v>775</v>
      </c>
      <c r="P85" s="449"/>
      <c r="Q85" s="449"/>
      <c r="R85" s="431" t="s">
        <v>42</v>
      </c>
      <c r="S85" s="450"/>
      <c r="T85" s="408"/>
      <c r="U85" s="408"/>
      <c r="V85" s="141" t="s">
        <v>45</v>
      </c>
      <c r="W85" s="430"/>
      <c r="X85" s="142" t="s">
        <v>233</v>
      </c>
      <c r="Y85" s="176" t="s">
        <v>276</v>
      </c>
      <c r="Z85" s="176" t="s">
        <v>370</v>
      </c>
      <c r="AA85" s="141"/>
      <c r="AB85" s="278">
        <v>82</v>
      </c>
    </row>
    <row r="86" spans="1:28" ht="181.5" hidden="1" customHeight="1">
      <c r="A86" s="203" t="s">
        <v>222</v>
      </c>
      <c r="B86" s="202" t="s">
        <v>105</v>
      </c>
      <c r="C86" s="177" t="s">
        <v>339</v>
      </c>
      <c r="D86" s="388" t="s">
        <v>443</v>
      </c>
      <c r="E86" s="143">
        <v>42887</v>
      </c>
      <c r="F86" s="432" t="s">
        <v>491</v>
      </c>
      <c r="G86" s="436" t="s">
        <v>490</v>
      </c>
      <c r="H86" s="141" t="s">
        <v>41</v>
      </c>
      <c r="I86" s="432" t="s">
        <v>494</v>
      </c>
      <c r="J86" s="432" t="s">
        <v>576</v>
      </c>
      <c r="K86" s="432"/>
      <c r="L86" s="432"/>
      <c r="M86" s="141" t="s">
        <v>41</v>
      </c>
      <c r="N86" s="432"/>
      <c r="O86" s="449" t="s">
        <v>635</v>
      </c>
      <c r="P86" s="449"/>
      <c r="Q86" s="449"/>
      <c r="R86" s="431" t="s">
        <v>41</v>
      </c>
      <c r="S86" s="450"/>
      <c r="T86" s="408"/>
      <c r="U86" s="408"/>
      <c r="V86" s="141" t="s">
        <v>45</v>
      </c>
      <c r="W86" s="430"/>
      <c r="X86" s="142" t="s">
        <v>233</v>
      </c>
      <c r="Y86" s="176" t="s">
        <v>77</v>
      </c>
      <c r="Z86" s="176" t="s">
        <v>370</v>
      </c>
      <c r="AA86" s="141"/>
      <c r="AB86" s="278">
        <v>83</v>
      </c>
    </row>
    <row r="87" spans="1:28" s="280" customFormat="1" ht="21" hidden="1">
      <c r="A87" s="378" t="s">
        <v>224</v>
      </c>
      <c r="B87" s="383"/>
      <c r="C87" s="386"/>
      <c r="D87" s="387"/>
      <c r="E87" s="387"/>
      <c r="F87" s="387"/>
      <c r="G87" s="387"/>
      <c r="H87" s="387"/>
      <c r="I87" s="387"/>
      <c r="J87" s="387"/>
      <c r="K87" s="387"/>
      <c r="L87" s="387"/>
      <c r="M87" s="387"/>
      <c r="N87" s="387"/>
      <c r="O87" s="441"/>
      <c r="P87" s="441"/>
      <c r="Q87" s="441"/>
      <c r="R87" s="441"/>
      <c r="S87" s="441"/>
      <c r="T87" s="387"/>
      <c r="U87" s="387"/>
      <c r="V87" s="387"/>
      <c r="W87" s="387"/>
      <c r="X87" s="387"/>
      <c r="Y87" s="387"/>
      <c r="Z87" s="387"/>
      <c r="AA87" s="387"/>
      <c r="AB87" s="385">
        <v>84</v>
      </c>
    </row>
    <row r="88" spans="1:28" ht="173.25" hidden="1">
      <c r="A88" s="203" t="s">
        <v>164</v>
      </c>
      <c r="B88" s="202" t="s">
        <v>100</v>
      </c>
      <c r="C88" s="177" t="s">
        <v>340</v>
      </c>
      <c r="D88" s="388" t="s">
        <v>444</v>
      </c>
      <c r="E88" s="143">
        <v>43160</v>
      </c>
      <c r="F88" s="432" t="s">
        <v>502</v>
      </c>
      <c r="G88" s="432"/>
      <c r="H88" s="141" t="s">
        <v>42</v>
      </c>
      <c r="I88" s="432"/>
      <c r="J88" s="432" t="s">
        <v>675</v>
      </c>
      <c r="K88" s="432"/>
      <c r="L88" s="432"/>
      <c r="M88" s="141" t="s">
        <v>42</v>
      </c>
      <c r="N88" s="432"/>
      <c r="O88" s="449" t="s">
        <v>712</v>
      </c>
      <c r="P88" s="449"/>
      <c r="Q88" s="449"/>
      <c r="R88" s="431" t="s">
        <v>42</v>
      </c>
      <c r="S88" s="450"/>
      <c r="T88" s="408"/>
      <c r="U88" s="408"/>
      <c r="V88" s="141" t="s">
        <v>45</v>
      </c>
      <c r="W88" s="430"/>
      <c r="X88" s="142" t="s">
        <v>234</v>
      </c>
      <c r="Y88" s="176" t="s">
        <v>95</v>
      </c>
      <c r="Z88" s="176" t="s">
        <v>369</v>
      </c>
      <c r="AA88" s="141"/>
      <c r="AB88" s="278">
        <v>85</v>
      </c>
    </row>
    <row r="89" spans="1:28" ht="154.5" hidden="1" customHeight="1">
      <c r="A89" s="203" t="s">
        <v>165</v>
      </c>
      <c r="B89" s="202" t="s">
        <v>108</v>
      </c>
      <c r="C89" s="177" t="s">
        <v>340</v>
      </c>
      <c r="D89" s="388" t="s">
        <v>445</v>
      </c>
      <c r="E89" s="143">
        <v>43160</v>
      </c>
      <c r="F89" s="432" t="s">
        <v>551</v>
      </c>
      <c r="G89" s="432"/>
      <c r="H89" s="141" t="s">
        <v>42</v>
      </c>
      <c r="I89" s="432"/>
      <c r="J89" s="432" t="s">
        <v>641</v>
      </c>
      <c r="K89" s="432"/>
      <c r="L89" s="432"/>
      <c r="M89" s="141" t="s">
        <v>42</v>
      </c>
      <c r="N89" s="432"/>
      <c r="O89" s="449" t="s">
        <v>769</v>
      </c>
      <c r="P89" s="449"/>
      <c r="Q89" s="449"/>
      <c r="R89" s="431" t="s">
        <v>42</v>
      </c>
      <c r="S89" s="450"/>
      <c r="T89" s="408"/>
      <c r="U89" s="408"/>
      <c r="V89" s="141" t="s">
        <v>45</v>
      </c>
      <c r="W89" s="430"/>
      <c r="X89" s="142" t="s">
        <v>234</v>
      </c>
      <c r="Y89" s="176" t="s">
        <v>95</v>
      </c>
      <c r="Z89" s="176" t="s">
        <v>369</v>
      </c>
      <c r="AA89" s="141"/>
      <c r="AB89" s="278">
        <v>86</v>
      </c>
    </row>
    <row r="90" spans="1:28" ht="154.5" hidden="1" customHeight="1">
      <c r="A90" s="203" t="s">
        <v>166</v>
      </c>
      <c r="B90" s="202" t="s">
        <v>101</v>
      </c>
      <c r="C90" s="177" t="s">
        <v>340</v>
      </c>
      <c r="D90" s="388" t="s">
        <v>446</v>
      </c>
      <c r="E90" s="143">
        <v>43070</v>
      </c>
      <c r="F90" s="432"/>
      <c r="G90" s="432"/>
      <c r="H90" s="141" t="s">
        <v>44</v>
      </c>
      <c r="I90" s="432"/>
      <c r="J90" s="432"/>
      <c r="K90" s="432"/>
      <c r="L90" s="432"/>
      <c r="M90" s="141" t="s">
        <v>44</v>
      </c>
      <c r="N90" s="432"/>
      <c r="O90" s="449" t="s">
        <v>697</v>
      </c>
      <c r="P90" s="449"/>
      <c r="Q90" s="449"/>
      <c r="R90" s="431" t="s">
        <v>41</v>
      </c>
      <c r="S90" s="450"/>
      <c r="T90" s="408"/>
      <c r="U90" s="408"/>
      <c r="V90" s="141" t="s">
        <v>45</v>
      </c>
      <c r="W90" s="430"/>
      <c r="X90" s="142" t="s">
        <v>234</v>
      </c>
      <c r="Y90" s="176" t="s">
        <v>95</v>
      </c>
      <c r="Z90" s="176" t="s">
        <v>369</v>
      </c>
      <c r="AA90" s="141"/>
      <c r="AB90" s="278">
        <v>87</v>
      </c>
    </row>
    <row r="91" spans="1:28" ht="154.5" hidden="1" customHeight="1">
      <c r="A91" s="203" t="s">
        <v>167</v>
      </c>
      <c r="B91" s="202" t="s">
        <v>100</v>
      </c>
      <c r="C91" s="177" t="s">
        <v>340</v>
      </c>
      <c r="D91" s="388" t="s">
        <v>447</v>
      </c>
      <c r="E91" s="143">
        <v>42856</v>
      </c>
      <c r="F91" s="432" t="s">
        <v>565</v>
      </c>
      <c r="G91" s="432"/>
      <c r="H91" s="141" t="s">
        <v>41</v>
      </c>
      <c r="I91" s="432"/>
      <c r="J91" s="432" t="s">
        <v>576</v>
      </c>
      <c r="K91" s="432"/>
      <c r="L91" s="432"/>
      <c r="M91" s="141" t="s">
        <v>41</v>
      </c>
      <c r="N91" s="432"/>
      <c r="O91" s="449" t="s">
        <v>576</v>
      </c>
      <c r="P91" s="449"/>
      <c r="Q91" s="449"/>
      <c r="R91" s="431" t="s">
        <v>41</v>
      </c>
      <c r="S91" s="450"/>
      <c r="T91" s="408"/>
      <c r="U91" s="408"/>
      <c r="V91" s="141" t="s">
        <v>45</v>
      </c>
      <c r="W91" s="430"/>
      <c r="X91" s="142" t="s">
        <v>234</v>
      </c>
      <c r="Y91" s="176" t="s">
        <v>95</v>
      </c>
      <c r="Z91" s="176" t="s">
        <v>369</v>
      </c>
      <c r="AA91" s="141"/>
      <c r="AB91" s="278">
        <v>88</v>
      </c>
    </row>
    <row r="92" spans="1:28" ht="154.5" hidden="1" customHeight="1">
      <c r="A92" s="203" t="s">
        <v>168</v>
      </c>
      <c r="B92" s="202" t="s">
        <v>287</v>
      </c>
      <c r="C92" s="177" t="s">
        <v>341</v>
      </c>
      <c r="D92" s="388" t="s">
        <v>448</v>
      </c>
      <c r="E92" s="143">
        <v>43009</v>
      </c>
      <c r="F92" s="432" t="s">
        <v>552</v>
      </c>
      <c r="G92" s="432"/>
      <c r="H92" s="141" t="s">
        <v>42</v>
      </c>
      <c r="I92" s="432"/>
      <c r="J92" s="432" t="s">
        <v>640</v>
      </c>
      <c r="K92" s="432"/>
      <c r="L92" s="432"/>
      <c r="M92" s="141" t="s">
        <v>42</v>
      </c>
      <c r="N92" s="432"/>
      <c r="O92" s="449" t="s">
        <v>759</v>
      </c>
      <c r="P92" s="449"/>
      <c r="Q92" s="449"/>
      <c r="R92" s="431" t="s">
        <v>41</v>
      </c>
      <c r="S92" s="450"/>
      <c r="T92" s="408"/>
      <c r="U92" s="408"/>
      <c r="V92" s="141" t="s">
        <v>45</v>
      </c>
      <c r="W92" s="430"/>
      <c r="X92" s="142" t="s">
        <v>234</v>
      </c>
      <c r="Y92" s="176" t="s">
        <v>95</v>
      </c>
      <c r="Z92" s="176" t="s">
        <v>369</v>
      </c>
      <c r="AA92" s="141"/>
      <c r="AB92" s="278">
        <v>89</v>
      </c>
    </row>
    <row r="93" spans="1:28" ht="154.5" hidden="1" customHeight="1">
      <c r="A93" s="203" t="s">
        <v>169</v>
      </c>
      <c r="B93" s="202" t="s">
        <v>287</v>
      </c>
      <c r="C93" s="177" t="s">
        <v>341</v>
      </c>
      <c r="D93" s="388" t="s">
        <v>449</v>
      </c>
      <c r="E93" s="143">
        <v>43160</v>
      </c>
      <c r="F93" s="432" t="s">
        <v>566</v>
      </c>
      <c r="G93" s="432"/>
      <c r="H93" s="141" t="s">
        <v>42</v>
      </c>
      <c r="I93" s="432"/>
      <c r="J93" s="432" t="s">
        <v>640</v>
      </c>
      <c r="K93" s="432"/>
      <c r="L93" s="432"/>
      <c r="M93" s="141" t="s">
        <v>42</v>
      </c>
      <c r="N93" s="432"/>
      <c r="O93" s="449" t="s">
        <v>713</v>
      </c>
      <c r="P93" s="449"/>
      <c r="Q93" s="449"/>
      <c r="R93" s="431" t="s">
        <v>41</v>
      </c>
      <c r="S93" s="450"/>
      <c r="T93" s="408"/>
      <c r="U93" s="408"/>
      <c r="V93" s="141" t="s">
        <v>45</v>
      </c>
      <c r="W93" s="430"/>
      <c r="X93" s="142" t="s">
        <v>234</v>
      </c>
      <c r="Y93" s="176" t="s">
        <v>95</v>
      </c>
      <c r="Z93" s="176" t="s">
        <v>369</v>
      </c>
      <c r="AA93" s="141"/>
      <c r="AB93" s="278">
        <v>90</v>
      </c>
    </row>
    <row r="94" spans="1:28" ht="154.5" hidden="1" customHeight="1">
      <c r="A94" s="203" t="s">
        <v>170</v>
      </c>
      <c r="B94" s="202" t="s">
        <v>287</v>
      </c>
      <c r="C94" s="177" t="s">
        <v>341</v>
      </c>
      <c r="D94" s="388" t="s">
        <v>450</v>
      </c>
      <c r="E94" s="143">
        <v>42979</v>
      </c>
      <c r="F94" s="432" t="s">
        <v>567</v>
      </c>
      <c r="G94" s="432"/>
      <c r="H94" s="141" t="s">
        <v>41</v>
      </c>
      <c r="I94" s="432"/>
      <c r="J94" s="432" t="s">
        <v>576</v>
      </c>
      <c r="K94" s="432"/>
      <c r="L94" s="432"/>
      <c r="M94" s="141" t="s">
        <v>41</v>
      </c>
      <c r="N94" s="432"/>
      <c r="O94" s="449" t="s">
        <v>576</v>
      </c>
      <c r="P94" s="449"/>
      <c r="Q94" s="449"/>
      <c r="R94" s="431" t="s">
        <v>41</v>
      </c>
      <c r="S94" s="450"/>
      <c r="T94" s="408"/>
      <c r="U94" s="408"/>
      <c r="V94" s="141" t="s">
        <v>45</v>
      </c>
      <c r="W94" s="430"/>
      <c r="X94" s="142" t="s">
        <v>234</v>
      </c>
      <c r="Y94" s="176" t="s">
        <v>95</v>
      </c>
      <c r="Z94" s="176" t="s">
        <v>369</v>
      </c>
      <c r="AA94" s="141"/>
      <c r="AB94" s="278">
        <v>91</v>
      </c>
    </row>
    <row r="95" spans="1:28" ht="154.5" hidden="1" customHeight="1">
      <c r="A95" s="203" t="s">
        <v>171</v>
      </c>
      <c r="B95" s="202" t="s">
        <v>287</v>
      </c>
      <c r="C95" s="177" t="s">
        <v>341</v>
      </c>
      <c r="D95" s="388" t="s">
        <v>451</v>
      </c>
      <c r="E95" s="143">
        <v>43160</v>
      </c>
      <c r="F95" s="432" t="s">
        <v>508</v>
      </c>
      <c r="G95" s="432"/>
      <c r="H95" s="141" t="s">
        <v>42</v>
      </c>
      <c r="I95" s="432"/>
      <c r="J95" s="432" t="s">
        <v>658</v>
      </c>
      <c r="K95" s="432"/>
      <c r="L95" s="432"/>
      <c r="M95" s="141" t="s">
        <v>42</v>
      </c>
      <c r="N95" s="432"/>
      <c r="O95" s="449" t="s">
        <v>714</v>
      </c>
      <c r="P95" s="449"/>
      <c r="Q95" s="449"/>
      <c r="R95" s="431" t="s">
        <v>42</v>
      </c>
      <c r="S95" s="450"/>
      <c r="T95" s="408"/>
      <c r="U95" s="408"/>
      <c r="V95" s="141" t="s">
        <v>45</v>
      </c>
      <c r="W95" s="430"/>
      <c r="X95" s="142" t="s">
        <v>234</v>
      </c>
      <c r="Y95" s="176" t="s">
        <v>95</v>
      </c>
      <c r="Z95" s="176" t="s">
        <v>369</v>
      </c>
      <c r="AA95" s="141"/>
      <c r="AB95" s="278">
        <v>92</v>
      </c>
    </row>
    <row r="96" spans="1:28" ht="166.5" hidden="1" customHeight="1">
      <c r="A96" s="203" t="s">
        <v>172</v>
      </c>
      <c r="B96" s="202" t="s">
        <v>287</v>
      </c>
      <c r="C96" s="177" t="s">
        <v>341</v>
      </c>
      <c r="D96" s="388" t="s">
        <v>526</v>
      </c>
      <c r="E96" s="143">
        <v>42979</v>
      </c>
      <c r="F96" s="432" t="s">
        <v>509</v>
      </c>
      <c r="G96" s="432"/>
      <c r="H96" s="141" t="s">
        <v>44</v>
      </c>
      <c r="I96" s="432"/>
      <c r="J96" s="432" t="s">
        <v>621</v>
      </c>
      <c r="K96" s="432"/>
      <c r="L96" s="432"/>
      <c r="M96" s="141" t="s">
        <v>41</v>
      </c>
      <c r="N96" s="432"/>
      <c r="O96" s="449" t="s">
        <v>757</v>
      </c>
      <c r="P96" s="449"/>
      <c r="Q96" s="449"/>
      <c r="R96" s="431" t="s">
        <v>41</v>
      </c>
      <c r="S96" s="450"/>
      <c r="T96" s="408"/>
      <c r="U96" s="408"/>
      <c r="V96" s="141" t="s">
        <v>45</v>
      </c>
      <c r="W96" s="430"/>
      <c r="X96" s="142" t="s">
        <v>234</v>
      </c>
      <c r="Y96" s="176" t="s">
        <v>95</v>
      </c>
      <c r="Z96" s="176" t="s">
        <v>369</v>
      </c>
      <c r="AA96" s="141"/>
      <c r="AB96" s="278">
        <v>93</v>
      </c>
    </row>
    <row r="97" spans="1:28" ht="154.5" hidden="1" customHeight="1">
      <c r="A97" s="203" t="s">
        <v>173</v>
      </c>
      <c r="B97" s="202" t="s">
        <v>287</v>
      </c>
      <c r="C97" s="177" t="s">
        <v>341</v>
      </c>
      <c r="D97" s="388" t="s">
        <v>452</v>
      </c>
      <c r="E97" s="143">
        <v>43160</v>
      </c>
      <c r="F97" s="432" t="s">
        <v>568</v>
      </c>
      <c r="G97" s="432"/>
      <c r="H97" s="141" t="s">
        <v>41</v>
      </c>
      <c r="I97" s="432"/>
      <c r="J97" s="432" t="s">
        <v>576</v>
      </c>
      <c r="K97" s="432"/>
      <c r="L97" s="432"/>
      <c r="M97" s="141" t="s">
        <v>41</v>
      </c>
      <c r="N97" s="432"/>
      <c r="O97" s="449" t="s">
        <v>576</v>
      </c>
      <c r="P97" s="449"/>
      <c r="Q97" s="449"/>
      <c r="R97" s="431" t="s">
        <v>41</v>
      </c>
      <c r="S97" s="450"/>
      <c r="T97" s="408"/>
      <c r="U97" s="408"/>
      <c r="V97" s="141" t="s">
        <v>45</v>
      </c>
      <c r="W97" s="430"/>
      <c r="X97" s="142" t="s">
        <v>234</v>
      </c>
      <c r="Y97" s="176" t="s">
        <v>95</v>
      </c>
      <c r="Z97" s="176" t="s">
        <v>369</v>
      </c>
      <c r="AA97" s="141"/>
      <c r="AB97" s="278">
        <v>94</v>
      </c>
    </row>
    <row r="98" spans="1:28" ht="154.5" hidden="1" customHeight="1">
      <c r="A98" s="203" t="s">
        <v>174</v>
      </c>
      <c r="B98" s="202" t="s">
        <v>104</v>
      </c>
      <c r="C98" s="177" t="s">
        <v>342</v>
      </c>
      <c r="D98" s="412">
        <v>0</v>
      </c>
      <c r="E98" s="143">
        <v>43160</v>
      </c>
      <c r="F98" s="432" t="s">
        <v>527</v>
      </c>
      <c r="G98" s="432"/>
      <c r="H98" s="141" t="s">
        <v>44</v>
      </c>
      <c r="I98" s="432"/>
      <c r="J98" s="432" t="s">
        <v>582</v>
      </c>
      <c r="K98" s="432"/>
      <c r="L98" s="432"/>
      <c r="M98" s="141" t="s">
        <v>42</v>
      </c>
      <c r="N98" s="432"/>
      <c r="O98" s="449" t="s">
        <v>698</v>
      </c>
      <c r="P98" s="449"/>
      <c r="Q98" s="449"/>
      <c r="R98" s="431" t="s">
        <v>42</v>
      </c>
      <c r="S98" s="450"/>
      <c r="T98" s="408"/>
      <c r="U98" s="408"/>
      <c r="V98" s="141" t="s">
        <v>45</v>
      </c>
      <c r="W98" s="430"/>
      <c r="X98" s="142" t="s">
        <v>234</v>
      </c>
      <c r="Y98" s="176" t="s">
        <v>275</v>
      </c>
      <c r="Z98" s="176" t="s">
        <v>370</v>
      </c>
      <c r="AA98" s="141"/>
      <c r="AB98" s="278">
        <v>95</v>
      </c>
    </row>
    <row r="99" spans="1:28" ht="154.5" hidden="1" customHeight="1">
      <c r="A99" s="203" t="s">
        <v>175</v>
      </c>
      <c r="B99" s="202" t="s">
        <v>104</v>
      </c>
      <c r="C99" s="177" t="s">
        <v>343</v>
      </c>
      <c r="D99" s="412">
        <v>0.01</v>
      </c>
      <c r="E99" s="143">
        <v>43160</v>
      </c>
      <c r="F99" s="432" t="s">
        <v>479</v>
      </c>
      <c r="G99" s="432"/>
      <c r="H99" s="141" t="s">
        <v>44</v>
      </c>
      <c r="I99" s="432"/>
      <c r="J99" s="432" t="s">
        <v>582</v>
      </c>
      <c r="K99" s="432"/>
      <c r="L99" s="432"/>
      <c r="M99" s="141" t="s">
        <v>42</v>
      </c>
      <c r="N99" s="432"/>
      <c r="O99" s="449" t="s">
        <v>698</v>
      </c>
      <c r="P99" s="449"/>
      <c r="Q99" s="449"/>
      <c r="R99" s="431" t="s">
        <v>42</v>
      </c>
      <c r="S99" s="450"/>
      <c r="T99" s="408"/>
      <c r="U99" s="408"/>
      <c r="V99" s="141" t="s">
        <v>45</v>
      </c>
      <c r="W99" s="430"/>
      <c r="X99" s="142" t="s">
        <v>234</v>
      </c>
      <c r="Y99" s="176" t="s">
        <v>275</v>
      </c>
      <c r="Z99" s="176" t="s">
        <v>370</v>
      </c>
      <c r="AA99" s="141"/>
      <c r="AB99" s="278">
        <v>96</v>
      </c>
    </row>
    <row r="100" spans="1:28" ht="154.5" hidden="1" customHeight="1">
      <c r="A100" s="203" t="s">
        <v>176</v>
      </c>
      <c r="B100" s="202" t="s">
        <v>104</v>
      </c>
      <c r="C100" s="177" t="s">
        <v>344</v>
      </c>
      <c r="D100" s="412">
        <v>0</v>
      </c>
      <c r="E100" s="143">
        <v>43160</v>
      </c>
      <c r="F100" s="432" t="s">
        <v>479</v>
      </c>
      <c r="G100" s="432"/>
      <c r="H100" s="141" t="s">
        <v>44</v>
      </c>
      <c r="I100" s="432"/>
      <c r="J100" s="432" t="s">
        <v>582</v>
      </c>
      <c r="K100" s="432"/>
      <c r="L100" s="432"/>
      <c r="M100" s="141" t="s">
        <v>42</v>
      </c>
      <c r="N100" s="432"/>
      <c r="O100" s="449" t="s">
        <v>698</v>
      </c>
      <c r="P100" s="449"/>
      <c r="Q100" s="449"/>
      <c r="R100" s="431" t="s">
        <v>42</v>
      </c>
      <c r="S100" s="450"/>
      <c r="T100" s="408"/>
      <c r="U100" s="408"/>
      <c r="V100" s="141" t="s">
        <v>45</v>
      </c>
      <c r="W100" s="430"/>
      <c r="X100" s="142" t="s">
        <v>234</v>
      </c>
      <c r="Y100" s="176" t="s">
        <v>275</v>
      </c>
      <c r="Z100" s="176" t="s">
        <v>370</v>
      </c>
      <c r="AA100" s="141"/>
      <c r="AB100" s="278">
        <v>97</v>
      </c>
    </row>
    <row r="101" spans="1:28" ht="154.5" hidden="1" customHeight="1">
      <c r="A101" s="203" t="s">
        <v>177</v>
      </c>
      <c r="B101" s="202" t="s">
        <v>104</v>
      </c>
      <c r="C101" s="177" t="s">
        <v>345</v>
      </c>
      <c r="D101" s="412">
        <v>0</v>
      </c>
      <c r="E101" s="143">
        <v>43160</v>
      </c>
      <c r="F101" s="432" t="s">
        <v>479</v>
      </c>
      <c r="G101" s="432"/>
      <c r="H101" s="141" t="s">
        <v>44</v>
      </c>
      <c r="I101" s="432"/>
      <c r="J101" s="432" t="s">
        <v>582</v>
      </c>
      <c r="K101" s="432"/>
      <c r="L101" s="432"/>
      <c r="M101" s="141" t="s">
        <v>42</v>
      </c>
      <c r="N101" s="432"/>
      <c r="O101" s="449" t="s">
        <v>699</v>
      </c>
      <c r="P101" s="449"/>
      <c r="Q101" s="449"/>
      <c r="R101" s="431" t="s">
        <v>42</v>
      </c>
      <c r="S101" s="450"/>
      <c r="T101" s="408"/>
      <c r="U101" s="408"/>
      <c r="V101" s="141" t="s">
        <v>45</v>
      </c>
      <c r="W101" s="430"/>
      <c r="X101" s="142" t="s">
        <v>234</v>
      </c>
      <c r="Y101" s="176" t="s">
        <v>275</v>
      </c>
      <c r="Z101" s="176" t="s">
        <v>370</v>
      </c>
      <c r="AA101" s="141"/>
      <c r="AB101" s="278">
        <v>98</v>
      </c>
    </row>
    <row r="102" spans="1:28" ht="154.5" hidden="1" customHeight="1">
      <c r="A102" s="203" t="s">
        <v>178</v>
      </c>
      <c r="B102" s="202" t="s">
        <v>104</v>
      </c>
      <c r="C102" s="177" t="s">
        <v>346</v>
      </c>
      <c r="D102" s="388" t="s">
        <v>453</v>
      </c>
      <c r="E102" s="143">
        <v>43160</v>
      </c>
      <c r="F102" s="432"/>
      <c r="G102" s="432"/>
      <c r="H102" s="141" t="s">
        <v>44</v>
      </c>
      <c r="I102" s="432"/>
      <c r="J102" s="432"/>
      <c r="K102" s="432"/>
      <c r="L102" s="432"/>
      <c r="M102" s="141" t="s">
        <v>44</v>
      </c>
      <c r="N102" s="432"/>
      <c r="O102" s="449" t="s">
        <v>706</v>
      </c>
      <c r="P102" s="449"/>
      <c r="Q102" s="449"/>
      <c r="R102" s="431" t="s">
        <v>41</v>
      </c>
      <c r="S102" s="450"/>
      <c r="T102" s="408"/>
      <c r="U102" s="408"/>
      <c r="V102" s="141" t="s">
        <v>45</v>
      </c>
      <c r="W102" s="430"/>
      <c r="X102" s="142" t="s">
        <v>234</v>
      </c>
      <c r="Y102" s="176" t="s">
        <v>275</v>
      </c>
      <c r="Z102" s="176" t="s">
        <v>370</v>
      </c>
      <c r="AA102" s="141"/>
      <c r="AB102" s="278">
        <v>99</v>
      </c>
    </row>
    <row r="103" spans="1:28" ht="154.5" hidden="1" customHeight="1">
      <c r="A103" s="203" t="s">
        <v>179</v>
      </c>
      <c r="B103" s="202" t="s">
        <v>104</v>
      </c>
      <c r="C103" s="177" t="s">
        <v>347</v>
      </c>
      <c r="D103" s="413" t="s">
        <v>380</v>
      </c>
      <c r="E103" s="143">
        <v>43160</v>
      </c>
      <c r="F103" s="432" t="s">
        <v>498</v>
      </c>
      <c r="G103" s="432" t="s">
        <v>499</v>
      </c>
      <c r="H103" s="141" t="s">
        <v>42</v>
      </c>
      <c r="I103" s="432"/>
      <c r="J103" s="432" t="s">
        <v>605</v>
      </c>
      <c r="K103" s="432" t="s">
        <v>607</v>
      </c>
      <c r="L103" s="432" t="s">
        <v>499</v>
      </c>
      <c r="M103" s="141" t="s">
        <v>42</v>
      </c>
      <c r="N103" s="432"/>
      <c r="O103" s="449" t="s">
        <v>716</v>
      </c>
      <c r="P103" s="449" t="s">
        <v>718</v>
      </c>
      <c r="Q103" s="449" t="s">
        <v>777</v>
      </c>
      <c r="R103" s="431" t="s">
        <v>27</v>
      </c>
      <c r="S103" s="450"/>
      <c r="T103" s="408"/>
      <c r="U103" s="408"/>
      <c r="V103" s="141" t="s">
        <v>45</v>
      </c>
      <c r="W103" s="430"/>
      <c r="X103" s="142" t="s">
        <v>234</v>
      </c>
      <c r="Y103" s="176" t="s">
        <v>275</v>
      </c>
      <c r="Z103" s="176" t="s">
        <v>370</v>
      </c>
      <c r="AA103" s="141"/>
      <c r="AB103" s="278">
        <v>100</v>
      </c>
    </row>
    <row r="104" spans="1:28" ht="154.5" hidden="1" customHeight="1">
      <c r="A104" s="203" t="s">
        <v>180</v>
      </c>
      <c r="B104" s="202" t="s">
        <v>104</v>
      </c>
      <c r="C104" s="177" t="s">
        <v>348</v>
      </c>
      <c r="D104" s="413" t="s">
        <v>381</v>
      </c>
      <c r="E104" s="143">
        <v>43160</v>
      </c>
      <c r="F104" s="432" t="s">
        <v>500</v>
      </c>
      <c r="G104" s="433">
        <v>0.5</v>
      </c>
      <c r="H104" s="141" t="s">
        <v>42</v>
      </c>
      <c r="I104" s="432"/>
      <c r="J104" s="432" t="s">
        <v>606</v>
      </c>
      <c r="K104" s="432" t="s">
        <v>608</v>
      </c>
      <c r="L104" s="433">
        <v>0.5</v>
      </c>
      <c r="M104" s="141" t="s">
        <v>42</v>
      </c>
      <c r="N104" s="432"/>
      <c r="O104" s="449" t="s">
        <v>717</v>
      </c>
      <c r="P104" s="449" t="s">
        <v>719</v>
      </c>
      <c r="Q104" s="456" t="s">
        <v>771</v>
      </c>
      <c r="R104" s="431" t="s">
        <v>42</v>
      </c>
      <c r="S104" s="450"/>
      <c r="T104" s="408"/>
      <c r="U104" s="408"/>
      <c r="V104" s="141" t="s">
        <v>45</v>
      </c>
      <c r="W104" s="430"/>
      <c r="X104" s="142" t="s">
        <v>234</v>
      </c>
      <c r="Y104" s="176" t="s">
        <v>275</v>
      </c>
      <c r="Z104" s="176" t="s">
        <v>370</v>
      </c>
      <c r="AA104" s="141"/>
      <c r="AB104" s="278">
        <v>101</v>
      </c>
    </row>
    <row r="105" spans="1:28" ht="154.5" hidden="1" customHeight="1">
      <c r="A105" s="203" t="s">
        <v>181</v>
      </c>
      <c r="B105" s="202" t="s">
        <v>264</v>
      </c>
      <c r="C105" s="177" t="s">
        <v>349</v>
      </c>
      <c r="D105" s="388" t="s">
        <v>454</v>
      </c>
      <c r="E105" s="143">
        <v>43160</v>
      </c>
      <c r="F105" s="432" t="s">
        <v>569</v>
      </c>
      <c r="G105" s="432"/>
      <c r="H105" s="141" t="s">
        <v>42</v>
      </c>
      <c r="I105" s="432"/>
      <c r="J105" s="432" t="s">
        <v>632</v>
      </c>
      <c r="K105" s="432"/>
      <c r="L105" s="432"/>
      <c r="M105" s="141" t="s">
        <v>42</v>
      </c>
      <c r="N105" s="432"/>
      <c r="O105" s="449" t="s">
        <v>682</v>
      </c>
      <c r="P105" s="449"/>
      <c r="Q105" s="449"/>
      <c r="R105" s="431" t="s">
        <v>42</v>
      </c>
      <c r="S105" s="450" t="s">
        <v>683</v>
      </c>
      <c r="T105" s="408"/>
      <c r="U105" s="408"/>
      <c r="V105" s="141" t="s">
        <v>45</v>
      </c>
      <c r="W105" s="430"/>
      <c r="X105" s="142" t="s">
        <v>234</v>
      </c>
      <c r="Y105" s="176" t="s">
        <v>274</v>
      </c>
      <c r="Z105" s="176" t="s">
        <v>370</v>
      </c>
      <c r="AA105" s="141"/>
      <c r="AB105" s="278">
        <v>102</v>
      </c>
    </row>
    <row r="106" spans="1:28" ht="78.75" hidden="1">
      <c r="A106" s="203" t="s">
        <v>182</v>
      </c>
      <c r="B106" s="202" t="s">
        <v>264</v>
      </c>
      <c r="C106" s="177" t="s">
        <v>350</v>
      </c>
      <c r="D106" s="388" t="s">
        <v>455</v>
      </c>
      <c r="E106" s="143">
        <v>43160</v>
      </c>
      <c r="F106" s="432" t="s">
        <v>631</v>
      </c>
      <c r="G106" s="432"/>
      <c r="H106" s="141" t="s">
        <v>42</v>
      </c>
      <c r="I106" s="432"/>
      <c r="J106" s="432" t="s">
        <v>620</v>
      </c>
      <c r="K106" s="432"/>
      <c r="L106" s="432"/>
      <c r="M106" s="141" t="s">
        <v>42</v>
      </c>
      <c r="N106" s="432"/>
      <c r="O106" s="449" t="s">
        <v>620</v>
      </c>
      <c r="P106" s="449"/>
      <c r="Q106" s="449"/>
      <c r="R106" s="431" t="s">
        <v>42</v>
      </c>
      <c r="S106" s="450"/>
      <c r="T106" s="408"/>
      <c r="U106" s="408"/>
      <c r="V106" s="141" t="s">
        <v>45</v>
      </c>
      <c r="W106" s="430"/>
      <c r="X106" s="142" t="s">
        <v>234</v>
      </c>
      <c r="Y106" s="176" t="s">
        <v>274</v>
      </c>
      <c r="Z106" s="176" t="s">
        <v>370</v>
      </c>
      <c r="AA106" s="141"/>
      <c r="AB106" s="278">
        <v>103</v>
      </c>
    </row>
    <row r="107" spans="1:28" ht="154.5" hidden="1" customHeight="1">
      <c r="A107" s="203" t="s">
        <v>183</v>
      </c>
      <c r="B107" s="202" t="s">
        <v>264</v>
      </c>
      <c r="C107" s="177" t="s">
        <v>350</v>
      </c>
      <c r="D107" s="388" t="s">
        <v>456</v>
      </c>
      <c r="E107" s="143">
        <v>43160</v>
      </c>
      <c r="F107" s="432" t="s">
        <v>529</v>
      </c>
      <c r="G107" s="432"/>
      <c r="H107" s="141" t="s">
        <v>42</v>
      </c>
      <c r="I107" s="432"/>
      <c r="J107" s="432" t="s">
        <v>633</v>
      </c>
      <c r="K107" s="445"/>
      <c r="L107" s="432"/>
      <c r="M107" s="141" t="s">
        <v>42</v>
      </c>
      <c r="N107" s="432"/>
      <c r="O107" s="449" t="s">
        <v>633</v>
      </c>
      <c r="P107" s="449"/>
      <c r="Q107" s="449"/>
      <c r="R107" s="431" t="s">
        <v>42</v>
      </c>
      <c r="S107" s="450"/>
      <c r="T107" s="408"/>
      <c r="U107" s="408"/>
      <c r="V107" s="141" t="s">
        <v>45</v>
      </c>
      <c r="W107" s="430"/>
      <c r="X107" s="142" t="s">
        <v>234</v>
      </c>
      <c r="Y107" s="176" t="s">
        <v>274</v>
      </c>
      <c r="Z107" s="176" t="s">
        <v>370</v>
      </c>
      <c r="AA107" s="141"/>
      <c r="AB107" s="278">
        <v>104</v>
      </c>
    </row>
    <row r="108" spans="1:28" ht="154.5" hidden="1" customHeight="1">
      <c r="A108" s="203" t="s">
        <v>184</v>
      </c>
      <c r="B108" s="202" t="s">
        <v>264</v>
      </c>
      <c r="C108" s="177" t="s">
        <v>351</v>
      </c>
      <c r="D108" s="388" t="s">
        <v>457</v>
      </c>
      <c r="E108" s="143">
        <v>43160</v>
      </c>
      <c r="F108" s="432" t="s">
        <v>629</v>
      </c>
      <c r="G108" s="432"/>
      <c r="H108" s="141" t="s">
        <v>42</v>
      </c>
      <c r="I108" s="432"/>
      <c r="J108" s="432" t="s">
        <v>613</v>
      </c>
      <c r="K108" s="432"/>
      <c r="L108" s="432"/>
      <c r="M108" s="141" t="s">
        <v>42</v>
      </c>
      <c r="N108" s="432"/>
      <c r="O108" s="457" t="s">
        <v>761</v>
      </c>
      <c r="P108" s="449"/>
      <c r="Q108" s="449"/>
      <c r="R108" s="431" t="s">
        <v>42</v>
      </c>
      <c r="S108" s="450" t="s">
        <v>685</v>
      </c>
      <c r="T108" s="408"/>
      <c r="U108" s="408"/>
      <c r="V108" s="141" t="s">
        <v>45</v>
      </c>
      <c r="W108" s="430"/>
      <c r="X108" s="142" t="s">
        <v>234</v>
      </c>
      <c r="Y108" s="176" t="s">
        <v>274</v>
      </c>
      <c r="Z108" s="176" t="s">
        <v>370</v>
      </c>
      <c r="AA108" s="141"/>
      <c r="AB108" s="278">
        <v>105</v>
      </c>
    </row>
    <row r="109" spans="1:28" ht="182.25" hidden="1" customHeight="1">
      <c r="A109" s="203" t="s">
        <v>185</v>
      </c>
      <c r="B109" s="202" t="s">
        <v>264</v>
      </c>
      <c r="C109" s="177" t="s">
        <v>352</v>
      </c>
      <c r="D109" s="388" t="s">
        <v>458</v>
      </c>
      <c r="E109" s="143">
        <v>42917</v>
      </c>
      <c r="F109" s="432" t="s">
        <v>630</v>
      </c>
      <c r="G109" s="432"/>
      <c r="H109" s="141" t="s">
        <v>42</v>
      </c>
      <c r="I109" s="432" t="s">
        <v>528</v>
      </c>
      <c r="J109" s="432" t="s">
        <v>634</v>
      </c>
      <c r="K109" s="432"/>
      <c r="L109" s="432"/>
      <c r="M109" s="141" t="s">
        <v>41</v>
      </c>
      <c r="N109" s="432"/>
      <c r="O109" s="449" t="s">
        <v>684</v>
      </c>
      <c r="P109" s="449"/>
      <c r="Q109" s="449"/>
      <c r="R109" s="431" t="s">
        <v>41</v>
      </c>
      <c r="S109" s="450"/>
      <c r="T109" s="408"/>
      <c r="U109" s="408"/>
      <c r="V109" s="141" t="s">
        <v>45</v>
      </c>
      <c r="W109" s="430"/>
      <c r="X109" s="142" t="s">
        <v>234</v>
      </c>
      <c r="Y109" s="176" t="s">
        <v>274</v>
      </c>
      <c r="Z109" s="176" t="s">
        <v>370</v>
      </c>
      <c r="AA109" s="141"/>
      <c r="AB109" s="278">
        <v>106</v>
      </c>
    </row>
    <row r="110" spans="1:28" ht="154.5" hidden="1" customHeight="1">
      <c r="A110" s="203" t="s">
        <v>186</v>
      </c>
      <c r="B110" s="202" t="s">
        <v>264</v>
      </c>
      <c r="C110" s="177" t="s">
        <v>353</v>
      </c>
      <c r="D110" s="388" t="s">
        <v>459</v>
      </c>
      <c r="E110" s="143">
        <v>42856</v>
      </c>
      <c r="F110" s="432" t="s">
        <v>514</v>
      </c>
      <c r="G110" s="432"/>
      <c r="H110" s="141" t="s">
        <v>41</v>
      </c>
      <c r="I110" s="432"/>
      <c r="J110" s="432" t="s">
        <v>635</v>
      </c>
      <c r="K110" s="432"/>
      <c r="L110" s="432"/>
      <c r="M110" s="141" t="s">
        <v>41</v>
      </c>
      <c r="N110" s="432"/>
      <c r="O110" s="449" t="s">
        <v>635</v>
      </c>
      <c r="P110" s="449"/>
      <c r="Q110" s="449"/>
      <c r="R110" s="431" t="s">
        <v>41</v>
      </c>
      <c r="S110" s="450"/>
      <c r="T110" s="408"/>
      <c r="U110" s="408"/>
      <c r="V110" s="141" t="s">
        <v>45</v>
      </c>
      <c r="W110" s="430"/>
      <c r="X110" s="142" t="s">
        <v>234</v>
      </c>
      <c r="Y110" s="176" t="s">
        <v>274</v>
      </c>
      <c r="Z110" s="176" t="s">
        <v>370</v>
      </c>
      <c r="AA110" s="141"/>
      <c r="AB110" s="278">
        <v>107</v>
      </c>
    </row>
    <row r="111" spans="1:28" ht="154.5" hidden="1" customHeight="1">
      <c r="A111" s="203" t="s">
        <v>187</v>
      </c>
      <c r="B111" s="202" t="s">
        <v>106</v>
      </c>
      <c r="C111" s="177" t="s">
        <v>354</v>
      </c>
      <c r="D111" s="388" t="s">
        <v>261</v>
      </c>
      <c r="E111" s="143">
        <v>43160</v>
      </c>
      <c r="F111" s="432" t="s">
        <v>521</v>
      </c>
      <c r="G111" s="432"/>
      <c r="H111" s="141" t="s">
        <v>41</v>
      </c>
      <c r="I111" s="432"/>
      <c r="J111" s="432" t="s">
        <v>576</v>
      </c>
      <c r="K111" s="432"/>
      <c r="L111" s="432"/>
      <c r="M111" s="141" t="s">
        <v>41</v>
      </c>
      <c r="N111" s="432"/>
      <c r="O111" s="449" t="s">
        <v>576</v>
      </c>
      <c r="P111" s="449"/>
      <c r="Q111" s="449"/>
      <c r="R111" s="431" t="s">
        <v>41</v>
      </c>
      <c r="S111" s="450"/>
      <c r="T111" s="408"/>
      <c r="U111" s="408"/>
      <c r="V111" s="141" t="s">
        <v>45</v>
      </c>
      <c r="W111" s="430"/>
      <c r="X111" s="142" t="s">
        <v>234</v>
      </c>
      <c r="Y111" s="176" t="s">
        <v>77</v>
      </c>
      <c r="Z111" s="176" t="s">
        <v>370</v>
      </c>
      <c r="AA111" s="141"/>
      <c r="AB111" s="278">
        <v>108</v>
      </c>
    </row>
    <row r="112" spans="1:28" ht="154.5" hidden="1" customHeight="1">
      <c r="A112" s="203" t="s">
        <v>188</v>
      </c>
      <c r="B112" s="202" t="s">
        <v>272</v>
      </c>
      <c r="C112" s="177" t="s">
        <v>355</v>
      </c>
      <c r="D112" s="388" t="s">
        <v>460</v>
      </c>
      <c r="E112" s="143">
        <v>43160</v>
      </c>
      <c r="F112" s="432" t="s">
        <v>570</v>
      </c>
      <c r="G112" s="432"/>
      <c r="H112" s="141" t="s">
        <v>42</v>
      </c>
      <c r="I112" s="432"/>
      <c r="J112" s="432" t="s">
        <v>581</v>
      </c>
      <c r="K112" s="432"/>
      <c r="L112" s="432"/>
      <c r="M112" s="141" t="s">
        <v>42</v>
      </c>
      <c r="N112" s="432"/>
      <c r="O112" s="449" t="s">
        <v>741</v>
      </c>
      <c r="P112" s="449"/>
      <c r="Q112" s="449"/>
      <c r="R112" s="431" t="s">
        <v>42</v>
      </c>
      <c r="S112" s="450"/>
      <c r="T112" s="408"/>
      <c r="U112" s="408"/>
      <c r="V112" s="141" t="s">
        <v>45</v>
      </c>
      <c r="W112" s="430"/>
      <c r="X112" s="142" t="s">
        <v>234</v>
      </c>
      <c r="Y112" s="176" t="s">
        <v>276</v>
      </c>
      <c r="Z112" s="176" t="s">
        <v>370</v>
      </c>
      <c r="AA112" s="141"/>
      <c r="AB112" s="278">
        <v>109</v>
      </c>
    </row>
    <row r="113" spans="1:28" ht="154.5" hidden="1" customHeight="1">
      <c r="A113" s="203" t="s">
        <v>189</v>
      </c>
      <c r="B113" s="202" t="s">
        <v>272</v>
      </c>
      <c r="C113" s="177" t="s">
        <v>267</v>
      </c>
      <c r="D113" s="388" t="s">
        <v>356</v>
      </c>
      <c r="E113" s="143">
        <v>43160</v>
      </c>
      <c r="F113" s="432" t="s">
        <v>522</v>
      </c>
      <c r="G113" s="432"/>
      <c r="H113" s="141" t="s">
        <v>42</v>
      </c>
      <c r="I113" s="432"/>
      <c r="J113" s="432" t="s">
        <v>639</v>
      </c>
      <c r="K113" s="432"/>
      <c r="L113" s="432"/>
      <c r="M113" s="141" t="s">
        <v>42</v>
      </c>
      <c r="N113" s="432"/>
      <c r="O113" s="449" t="s">
        <v>742</v>
      </c>
      <c r="P113" s="449"/>
      <c r="Q113" s="449"/>
      <c r="R113" s="431" t="s">
        <v>42</v>
      </c>
      <c r="S113" s="450"/>
      <c r="T113" s="408"/>
      <c r="U113" s="408"/>
      <c r="V113" s="141" t="s">
        <v>45</v>
      </c>
      <c r="W113" s="430"/>
      <c r="X113" s="142" t="s">
        <v>234</v>
      </c>
      <c r="Y113" s="176" t="s">
        <v>276</v>
      </c>
      <c r="Z113" s="176" t="s">
        <v>370</v>
      </c>
      <c r="AA113" s="141"/>
      <c r="AB113" s="278">
        <v>110</v>
      </c>
    </row>
    <row r="114" spans="1:28" ht="154.5" hidden="1" customHeight="1">
      <c r="A114" s="203" t="s">
        <v>190</v>
      </c>
      <c r="B114" s="202" t="s">
        <v>599</v>
      </c>
      <c r="C114" s="177" t="s">
        <v>357</v>
      </c>
      <c r="D114" s="388" t="s">
        <v>461</v>
      </c>
      <c r="E114" s="143">
        <v>42887</v>
      </c>
      <c r="F114" s="432" t="s">
        <v>546</v>
      </c>
      <c r="G114" s="432"/>
      <c r="H114" s="141" t="s">
        <v>43</v>
      </c>
      <c r="I114" s="432" t="s">
        <v>571</v>
      </c>
      <c r="J114" s="432" t="s">
        <v>546</v>
      </c>
      <c r="K114" s="432"/>
      <c r="L114" s="432"/>
      <c r="M114" s="141" t="s">
        <v>43</v>
      </c>
      <c r="N114" s="432" t="s">
        <v>625</v>
      </c>
      <c r="O114" s="449" t="s">
        <v>546</v>
      </c>
      <c r="P114" s="449"/>
      <c r="Q114" s="449"/>
      <c r="R114" s="431" t="s">
        <v>43</v>
      </c>
      <c r="S114" s="450"/>
      <c r="T114" s="408"/>
      <c r="U114" s="408"/>
      <c r="V114" s="141" t="s">
        <v>45</v>
      </c>
      <c r="W114" s="430"/>
      <c r="X114" s="142" t="s">
        <v>234</v>
      </c>
      <c r="Y114" s="176" t="s">
        <v>278</v>
      </c>
      <c r="Z114" s="176" t="s">
        <v>371</v>
      </c>
      <c r="AA114" s="141"/>
      <c r="AB114" s="278">
        <v>111</v>
      </c>
    </row>
    <row r="115" spans="1:28" ht="225" hidden="1">
      <c r="A115" s="203" t="s">
        <v>191</v>
      </c>
      <c r="B115" s="202" t="s">
        <v>599</v>
      </c>
      <c r="C115" s="177" t="s">
        <v>357</v>
      </c>
      <c r="D115" s="388" t="s">
        <v>462</v>
      </c>
      <c r="E115" s="143">
        <v>43160</v>
      </c>
      <c r="F115" s="432" t="s">
        <v>572</v>
      </c>
      <c r="G115" s="432"/>
      <c r="H115" s="141" t="s">
        <v>42</v>
      </c>
      <c r="I115" s="432"/>
      <c r="J115" s="432" t="s">
        <v>627</v>
      </c>
      <c r="K115" s="432"/>
      <c r="L115" s="432"/>
      <c r="M115" s="141" t="s">
        <v>42</v>
      </c>
      <c r="N115" s="432" t="s">
        <v>626</v>
      </c>
      <c r="O115" s="449" t="s">
        <v>702</v>
      </c>
      <c r="P115" s="449"/>
      <c r="Q115" s="449"/>
      <c r="R115" s="431" t="s">
        <v>42</v>
      </c>
      <c r="S115" s="450" t="s">
        <v>701</v>
      </c>
      <c r="T115" s="408"/>
      <c r="U115" s="408"/>
      <c r="V115" s="141" t="s">
        <v>45</v>
      </c>
      <c r="W115" s="430"/>
      <c r="X115" s="142" t="s">
        <v>234</v>
      </c>
      <c r="Y115" s="176" t="s">
        <v>278</v>
      </c>
      <c r="Z115" s="176" t="s">
        <v>371</v>
      </c>
      <c r="AA115" s="141"/>
      <c r="AB115" s="278">
        <v>112</v>
      </c>
    </row>
    <row r="116" spans="1:28" ht="154.5" hidden="1" customHeight="1">
      <c r="A116" s="203" t="s">
        <v>192</v>
      </c>
      <c r="B116" s="202" t="s">
        <v>272</v>
      </c>
      <c r="C116" s="177" t="s">
        <v>358</v>
      </c>
      <c r="D116" s="388" t="s">
        <v>359</v>
      </c>
      <c r="E116" s="143">
        <v>43160</v>
      </c>
      <c r="F116" s="432" t="s">
        <v>573</v>
      </c>
      <c r="G116" s="432"/>
      <c r="H116" s="141" t="s">
        <v>42</v>
      </c>
      <c r="I116" s="432"/>
      <c r="J116" s="432" t="s">
        <v>615</v>
      </c>
      <c r="K116" s="432"/>
      <c r="L116" s="432"/>
      <c r="M116" s="141" t="s">
        <v>42</v>
      </c>
      <c r="N116" s="432"/>
      <c r="O116" s="449" t="s">
        <v>743</v>
      </c>
      <c r="P116" s="449"/>
      <c r="Q116" s="449"/>
      <c r="R116" s="431" t="s">
        <v>42</v>
      </c>
      <c r="S116" s="450"/>
      <c r="T116" s="408"/>
      <c r="U116" s="408"/>
      <c r="V116" s="141" t="s">
        <v>45</v>
      </c>
      <c r="W116" s="430"/>
      <c r="X116" s="142" t="s">
        <v>234</v>
      </c>
      <c r="Y116" s="176" t="s">
        <v>276</v>
      </c>
      <c r="Z116" s="176" t="s">
        <v>370</v>
      </c>
      <c r="AA116" s="141"/>
      <c r="AB116" s="278">
        <v>113</v>
      </c>
    </row>
    <row r="117" spans="1:28" ht="154.5" hidden="1" customHeight="1">
      <c r="A117" s="203" t="s">
        <v>193</v>
      </c>
      <c r="B117" s="202" t="s">
        <v>469</v>
      </c>
      <c r="C117" s="177" t="s">
        <v>360</v>
      </c>
      <c r="D117" s="388" t="s">
        <v>594</v>
      </c>
      <c r="E117" s="143">
        <v>42979</v>
      </c>
      <c r="F117" s="432"/>
      <c r="G117" s="432"/>
      <c r="H117" s="141" t="s">
        <v>42</v>
      </c>
      <c r="I117" s="432"/>
      <c r="J117" s="432" t="s">
        <v>600</v>
      </c>
      <c r="K117" s="432"/>
      <c r="L117" s="432"/>
      <c r="M117" s="141" t="s">
        <v>42</v>
      </c>
      <c r="N117" s="432"/>
      <c r="O117" s="449" t="s">
        <v>694</v>
      </c>
      <c r="P117" s="449"/>
      <c r="Q117" s="449"/>
      <c r="R117" s="431" t="s">
        <v>42</v>
      </c>
      <c r="S117" s="450"/>
      <c r="T117" s="408"/>
      <c r="U117" s="408"/>
      <c r="V117" s="141" t="s">
        <v>45</v>
      </c>
      <c r="W117" s="430"/>
      <c r="X117" s="142" t="s">
        <v>234</v>
      </c>
      <c r="Y117" s="176" t="s">
        <v>274</v>
      </c>
      <c r="Z117" s="176" t="s">
        <v>371</v>
      </c>
      <c r="AA117" s="141"/>
      <c r="AB117" s="278">
        <v>114</v>
      </c>
    </row>
    <row r="118" spans="1:28" ht="154.5" hidden="1" customHeight="1">
      <c r="A118" s="203" t="s">
        <v>194</v>
      </c>
      <c r="B118" s="202" t="s">
        <v>469</v>
      </c>
      <c r="C118" s="177" t="s">
        <v>361</v>
      </c>
      <c r="D118" s="388" t="s">
        <v>463</v>
      </c>
      <c r="E118" s="143">
        <v>43160</v>
      </c>
      <c r="F118" s="432" t="s">
        <v>525</v>
      </c>
      <c r="G118" s="432"/>
      <c r="H118" s="141" t="s">
        <v>42</v>
      </c>
      <c r="I118" s="432"/>
      <c r="J118" s="432" t="s">
        <v>601</v>
      </c>
      <c r="K118" s="432"/>
      <c r="L118" s="432"/>
      <c r="M118" s="141" t="s">
        <v>42</v>
      </c>
      <c r="N118" s="432"/>
      <c r="O118" s="449" t="s">
        <v>693</v>
      </c>
      <c r="P118" s="449"/>
      <c r="Q118" s="449"/>
      <c r="R118" s="431" t="s">
        <v>42</v>
      </c>
      <c r="S118" s="450"/>
      <c r="T118" s="408"/>
      <c r="U118" s="408"/>
      <c r="V118" s="141" t="s">
        <v>45</v>
      </c>
      <c r="W118" s="430"/>
      <c r="X118" s="142" t="s">
        <v>234</v>
      </c>
      <c r="Y118" s="176" t="s">
        <v>274</v>
      </c>
      <c r="Z118" s="176" t="s">
        <v>371</v>
      </c>
      <c r="AA118" s="141"/>
      <c r="AB118" s="278">
        <v>115</v>
      </c>
    </row>
    <row r="119" spans="1:28" ht="154.5" hidden="1" customHeight="1">
      <c r="A119" s="203" t="s">
        <v>195</v>
      </c>
      <c r="B119" s="202" t="s">
        <v>362</v>
      </c>
      <c r="C119" s="177" t="s">
        <v>363</v>
      </c>
      <c r="D119" s="388" t="s">
        <v>464</v>
      </c>
      <c r="E119" s="143">
        <v>43040</v>
      </c>
      <c r="F119" s="432" t="s">
        <v>559</v>
      </c>
      <c r="G119" s="432"/>
      <c r="H119" s="141" t="s">
        <v>42</v>
      </c>
      <c r="I119" s="432"/>
      <c r="J119" s="432" t="s">
        <v>665</v>
      </c>
      <c r="K119" s="432"/>
      <c r="L119" s="432"/>
      <c r="M119" s="141" t="s">
        <v>41</v>
      </c>
      <c r="N119" s="432"/>
      <c r="O119" s="449" t="s">
        <v>757</v>
      </c>
      <c r="P119" s="449"/>
      <c r="Q119" s="449"/>
      <c r="R119" s="431" t="s">
        <v>41</v>
      </c>
      <c r="S119" s="450"/>
      <c r="T119" s="408"/>
      <c r="U119" s="408"/>
      <c r="V119" s="141" t="s">
        <v>45</v>
      </c>
      <c r="W119" s="430"/>
      <c r="X119" s="142" t="s">
        <v>234</v>
      </c>
      <c r="Y119" s="176" t="s">
        <v>39</v>
      </c>
      <c r="Z119" s="176" t="s">
        <v>371</v>
      </c>
      <c r="AA119" s="141"/>
      <c r="AB119" s="278">
        <v>116</v>
      </c>
    </row>
    <row r="120" spans="1:28" ht="154.5" hidden="1" customHeight="1">
      <c r="A120" s="203" t="s">
        <v>196</v>
      </c>
      <c r="B120" s="202" t="s">
        <v>362</v>
      </c>
      <c r="C120" s="177" t="s">
        <v>364</v>
      </c>
      <c r="D120" s="388" t="s">
        <v>465</v>
      </c>
      <c r="E120" s="143">
        <v>43160</v>
      </c>
      <c r="F120" s="432" t="s">
        <v>537</v>
      </c>
      <c r="G120" s="432"/>
      <c r="H120" s="141" t="s">
        <v>42</v>
      </c>
      <c r="I120" s="432"/>
      <c r="J120" s="432" t="s">
        <v>666</v>
      </c>
      <c r="K120" s="432"/>
      <c r="L120" s="432"/>
      <c r="M120" s="141" t="s">
        <v>41</v>
      </c>
      <c r="N120" s="432"/>
      <c r="O120" s="449" t="s">
        <v>757</v>
      </c>
      <c r="P120" s="449"/>
      <c r="Q120" s="449"/>
      <c r="R120" s="431" t="s">
        <v>41</v>
      </c>
      <c r="S120" s="450"/>
      <c r="T120" s="408"/>
      <c r="U120" s="408"/>
      <c r="V120" s="141" t="s">
        <v>45</v>
      </c>
      <c r="W120" s="430"/>
      <c r="X120" s="142" t="s">
        <v>234</v>
      </c>
      <c r="Y120" s="176" t="s">
        <v>39</v>
      </c>
      <c r="Z120" s="176" t="s">
        <v>371</v>
      </c>
      <c r="AA120" s="141"/>
      <c r="AB120" s="278">
        <v>117</v>
      </c>
    </row>
    <row r="121" spans="1:28" ht="330" hidden="1">
      <c r="A121" s="203" t="s">
        <v>197</v>
      </c>
      <c r="B121" s="202" t="s">
        <v>538</v>
      </c>
      <c r="C121" s="177" t="s">
        <v>365</v>
      </c>
      <c r="D121" s="388" t="s">
        <v>466</v>
      </c>
      <c r="E121" s="143">
        <v>43040</v>
      </c>
      <c r="F121" s="432" t="s">
        <v>574</v>
      </c>
      <c r="G121" s="432"/>
      <c r="H121" s="141" t="s">
        <v>42</v>
      </c>
      <c r="I121" s="432"/>
      <c r="J121" s="432" t="s">
        <v>614</v>
      </c>
      <c r="K121" s="432"/>
      <c r="L121" s="432"/>
      <c r="M121" s="141" t="s">
        <v>42</v>
      </c>
      <c r="N121" s="432"/>
      <c r="O121" s="461" t="s">
        <v>770</v>
      </c>
      <c r="P121" s="457" t="s">
        <v>766</v>
      </c>
      <c r="Q121" s="449"/>
      <c r="R121" s="431" t="s">
        <v>42</v>
      </c>
      <c r="S121" s="450"/>
      <c r="T121" s="408"/>
      <c r="U121" s="408"/>
      <c r="V121" s="141" t="s">
        <v>45</v>
      </c>
      <c r="W121" s="430"/>
      <c r="X121" s="142" t="s">
        <v>234</v>
      </c>
      <c r="Y121" s="176" t="s">
        <v>39</v>
      </c>
      <c r="Z121" s="176" t="s">
        <v>369</v>
      </c>
      <c r="AA121" s="141"/>
      <c r="AB121" s="278">
        <v>118</v>
      </c>
    </row>
    <row r="122" spans="1:28" ht="154.5" hidden="1" customHeight="1">
      <c r="A122" s="203" t="s">
        <v>198</v>
      </c>
      <c r="B122" s="202" t="s">
        <v>265</v>
      </c>
      <c r="C122" s="177" t="s">
        <v>366</v>
      </c>
      <c r="D122" s="388" t="s">
        <v>467</v>
      </c>
      <c r="E122" s="143">
        <v>43009</v>
      </c>
      <c r="F122" s="432" t="s">
        <v>575</v>
      </c>
      <c r="G122" s="432"/>
      <c r="H122" s="141" t="s">
        <v>42</v>
      </c>
      <c r="I122" s="432"/>
      <c r="J122" s="432" t="s">
        <v>622</v>
      </c>
      <c r="K122" s="432"/>
      <c r="L122" s="432"/>
      <c r="M122" s="141" t="s">
        <v>41</v>
      </c>
      <c r="N122" s="432"/>
      <c r="O122" s="449" t="s">
        <v>757</v>
      </c>
      <c r="P122" s="449"/>
      <c r="Q122" s="449"/>
      <c r="R122" s="431" t="s">
        <v>41</v>
      </c>
      <c r="S122" s="450"/>
      <c r="T122" s="408"/>
      <c r="U122" s="408"/>
      <c r="V122" s="141" t="s">
        <v>45</v>
      </c>
      <c r="W122" s="430"/>
      <c r="X122" s="142" t="s">
        <v>234</v>
      </c>
      <c r="Y122" s="176" t="s">
        <v>39</v>
      </c>
      <c r="Z122" s="176" t="s">
        <v>371</v>
      </c>
      <c r="AA122" s="141"/>
      <c r="AB122" s="278">
        <v>119</v>
      </c>
    </row>
    <row r="123" spans="1:28" ht="154.5" hidden="1" customHeight="1">
      <c r="A123" s="203" t="s">
        <v>367</v>
      </c>
      <c r="B123" s="202" t="s">
        <v>362</v>
      </c>
      <c r="C123" s="177" t="s">
        <v>368</v>
      </c>
      <c r="D123" s="388" t="s">
        <v>468</v>
      </c>
      <c r="E123" s="143">
        <v>43160</v>
      </c>
      <c r="F123" s="432"/>
      <c r="G123" s="432"/>
      <c r="H123" s="141" t="s">
        <v>44</v>
      </c>
      <c r="I123" s="432"/>
      <c r="J123" s="432"/>
      <c r="K123" s="432"/>
      <c r="L123" s="432"/>
      <c r="M123" s="141" t="s">
        <v>44</v>
      </c>
      <c r="N123" s="432"/>
      <c r="O123" s="449" t="s">
        <v>737</v>
      </c>
      <c r="P123" s="449"/>
      <c r="Q123" s="449"/>
      <c r="R123" s="431" t="s">
        <v>41</v>
      </c>
      <c r="S123" s="450"/>
      <c r="T123" s="408"/>
      <c r="U123" s="408"/>
      <c r="V123" s="141" t="s">
        <v>45</v>
      </c>
      <c r="W123" s="430"/>
      <c r="X123" s="142" t="s">
        <v>234</v>
      </c>
      <c r="Y123" s="176" t="s">
        <v>39</v>
      </c>
      <c r="Z123" s="176" t="s">
        <v>371</v>
      </c>
      <c r="AA123" s="141"/>
      <c r="AB123" s="278">
        <v>120</v>
      </c>
    </row>
    <row r="124" spans="1:28" hidden="1">
      <c r="A124" s="147"/>
      <c r="B124" s="144"/>
      <c r="C124" s="179"/>
    </row>
    <row r="125" spans="1:28" hidden="1">
      <c r="A125" s="147"/>
      <c r="B125" s="144"/>
      <c r="C125" s="179"/>
    </row>
    <row r="126" spans="1:28" hidden="1">
      <c r="A126" s="148"/>
      <c r="B126" s="144"/>
    </row>
    <row r="127" spans="1:28" hidden="1">
      <c r="A127" s="148"/>
      <c r="B127" s="144"/>
    </row>
    <row r="128" spans="1:28" hidden="1">
      <c r="A128" s="148"/>
      <c r="B128" s="144"/>
    </row>
    <row r="129" spans="1:28" hidden="1">
      <c r="A129" s="148"/>
      <c r="B129" s="144"/>
    </row>
    <row r="130" spans="1:28" hidden="1">
      <c r="A130" s="148"/>
      <c r="B130" s="144"/>
    </row>
    <row r="131" spans="1:28" hidden="1">
      <c r="A131" s="148"/>
      <c r="B131" s="144"/>
    </row>
    <row r="132" spans="1:28" hidden="1">
      <c r="A132" s="148"/>
    </row>
    <row r="133" spans="1:28" hidden="1">
      <c r="A133" s="148"/>
    </row>
    <row r="134" spans="1:28" hidden="1">
      <c r="A134" s="148"/>
    </row>
    <row r="135" spans="1:28" hidden="1">
      <c r="A135" s="148"/>
    </row>
    <row r="136" spans="1:28" hidden="1">
      <c r="A136" s="147"/>
    </row>
    <row r="137" spans="1:28" hidden="1">
      <c r="A137" s="147"/>
    </row>
    <row r="138" spans="1:28" hidden="1">
      <c r="A138" s="147"/>
    </row>
    <row r="139" spans="1:28" hidden="1">
      <c r="A139" s="147"/>
    </row>
    <row r="140" spans="1:28" hidden="1">
      <c r="A140" s="149" t="s">
        <v>112</v>
      </c>
    </row>
    <row r="141" spans="1:28" ht="30" hidden="1">
      <c r="A141" s="149" t="s">
        <v>113</v>
      </c>
    </row>
    <row r="142" spans="1:28" s="264" customFormat="1" hidden="1">
      <c r="A142" s="149"/>
      <c r="C142" s="265"/>
      <c r="D142" s="266"/>
      <c r="F142" s="265"/>
      <c r="G142" s="265"/>
      <c r="H142" s="394"/>
      <c r="I142" s="265"/>
      <c r="J142" s="267"/>
      <c r="K142" s="267"/>
      <c r="L142" s="267"/>
      <c r="M142" s="268"/>
      <c r="N142" s="267"/>
      <c r="O142" s="454"/>
      <c r="P142" s="454"/>
      <c r="Q142" s="454"/>
      <c r="R142" s="443"/>
      <c r="S142" s="443"/>
      <c r="T142" s="269"/>
      <c r="U142" s="269"/>
      <c r="V142" s="268"/>
      <c r="W142" s="273"/>
      <c r="X142" s="266"/>
      <c r="AA142" s="266"/>
      <c r="AB142" s="279"/>
    </row>
    <row r="143" spans="1:28" s="282" customFormat="1" hidden="1">
      <c r="A143" s="281" t="s">
        <v>47</v>
      </c>
      <c r="C143" s="283"/>
      <c r="D143" s="284"/>
      <c r="F143" s="283"/>
      <c r="G143" s="283"/>
      <c r="H143" s="395"/>
      <c r="I143" s="283"/>
      <c r="J143" s="285"/>
      <c r="K143" s="285"/>
      <c r="L143" s="285"/>
      <c r="M143" s="286"/>
      <c r="N143" s="285"/>
      <c r="O143" s="455"/>
      <c r="P143" s="455"/>
      <c r="Q143" s="455"/>
      <c r="R143" s="444"/>
      <c r="S143" s="444"/>
      <c r="T143" s="287"/>
      <c r="U143" s="287"/>
      <c r="V143" s="286"/>
      <c r="W143" s="288"/>
      <c r="X143" s="284"/>
      <c r="AA143" s="284"/>
      <c r="AB143" s="289"/>
    </row>
    <row r="144" spans="1:28" s="282" customFormat="1" hidden="1">
      <c r="A144" s="281" t="s">
        <v>41</v>
      </c>
      <c r="C144" s="283"/>
      <c r="D144" s="284"/>
      <c r="F144" s="283"/>
      <c r="G144" s="283"/>
      <c r="H144" s="395"/>
      <c r="I144" s="283"/>
      <c r="J144" s="285"/>
      <c r="K144" s="285"/>
      <c r="L144" s="285"/>
      <c r="M144" s="286"/>
      <c r="N144" s="285"/>
      <c r="O144" s="455"/>
      <c r="P144" s="455"/>
      <c r="Q144" s="455"/>
      <c r="R144" s="444"/>
      <c r="S144" s="444"/>
      <c r="T144" s="287"/>
      <c r="U144" s="287"/>
      <c r="V144" s="286"/>
      <c r="W144" s="288"/>
      <c r="X144" s="284"/>
      <c r="AA144" s="284"/>
      <c r="AB144" s="289"/>
    </row>
    <row r="145" spans="1:28" s="282" customFormat="1" hidden="1">
      <c r="A145" s="281" t="s">
        <v>83</v>
      </c>
      <c r="C145" s="283"/>
      <c r="D145" s="284"/>
      <c r="F145" s="283"/>
      <c r="G145" s="283"/>
      <c r="H145" s="395"/>
      <c r="I145" s="283"/>
      <c r="J145" s="285"/>
      <c r="K145" s="285"/>
      <c r="L145" s="285"/>
      <c r="M145" s="286"/>
      <c r="N145" s="285"/>
      <c r="O145" s="455"/>
      <c r="P145" s="455"/>
      <c r="Q145" s="455"/>
      <c r="R145" s="444"/>
      <c r="S145" s="444"/>
      <c r="T145" s="287"/>
      <c r="U145" s="287"/>
      <c r="V145" s="286"/>
      <c r="W145" s="288"/>
      <c r="X145" s="284"/>
      <c r="AA145" s="284"/>
      <c r="AB145" s="289"/>
    </row>
    <row r="146" spans="1:28" s="282" customFormat="1" hidden="1">
      <c r="A146" s="281" t="s">
        <v>84</v>
      </c>
      <c r="C146" s="283"/>
      <c r="D146" s="284"/>
      <c r="F146" s="283"/>
      <c r="G146" s="283"/>
      <c r="H146" s="395"/>
      <c r="I146" s="283"/>
      <c r="J146" s="285"/>
      <c r="K146" s="285"/>
      <c r="L146" s="285"/>
      <c r="M146" s="286"/>
      <c r="N146" s="285"/>
      <c r="O146" s="455"/>
      <c r="P146" s="455"/>
      <c r="Q146" s="455"/>
      <c r="R146" s="444"/>
      <c r="S146" s="444"/>
      <c r="T146" s="287"/>
      <c r="U146" s="287"/>
      <c r="V146" s="286"/>
      <c r="W146" s="288"/>
      <c r="X146" s="284"/>
      <c r="AA146" s="284"/>
      <c r="AB146" s="289"/>
    </row>
    <row r="147" spans="1:28" s="282" customFormat="1" hidden="1">
      <c r="A147" s="281" t="s">
        <v>85</v>
      </c>
      <c r="C147" s="283"/>
      <c r="D147" s="284"/>
      <c r="F147" s="283"/>
      <c r="G147" s="283"/>
      <c r="H147" s="395"/>
      <c r="I147" s="283"/>
      <c r="J147" s="285"/>
      <c r="K147" s="285"/>
      <c r="L147" s="285"/>
      <c r="M147" s="286"/>
      <c r="N147" s="285"/>
      <c r="O147" s="455"/>
      <c r="P147" s="455"/>
      <c r="Q147" s="455"/>
      <c r="R147" s="444"/>
      <c r="S147" s="444"/>
      <c r="T147" s="287"/>
      <c r="U147" s="287"/>
      <c r="V147" s="286"/>
      <c r="W147" s="288"/>
      <c r="X147" s="284"/>
      <c r="AA147" s="284"/>
      <c r="AB147" s="289"/>
    </row>
    <row r="148" spans="1:28" s="282" customFormat="1" hidden="1">
      <c r="A148" s="281" t="s">
        <v>28</v>
      </c>
      <c r="C148" s="283"/>
      <c r="D148" s="284"/>
      <c r="F148" s="283"/>
      <c r="G148" s="283"/>
      <c r="H148" s="395"/>
      <c r="I148" s="283"/>
      <c r="J148" s="285"/>
      <c r="K148" s="285"/>
      <c r="L148" s="285"/>
      <c r="M148" s="286"/>
      <c r="N148" s="285"/>
      <c r="O148" s="455"/>
      <c r="P148" s="455"/>
      <c r="Q148" s="455"/>
      <c r="R148" s="444"/>
      <c r="S148" s="444"/>
      <c r="T148" s="287"/>
      <c r="U148" s="287"/>
      <c r="V148" s="286"/>
      <c r="W148" s="288"/>
      <c r="X148" s="284"/>
      <c r="AA148" s="284"/>
      <c r="AB148" s="289"/>
    </row>
    <row r="149" spans="1:28" s="282" customFormat="1" hidden="1">
      <c r="A149" s="281" t="s">
        <v>86</v>
      </c>
      <c r="C149" s="283"/>
      <c r="D149" s="284"/>
      <c r="F149" s="283"/>
      <c r="G149" s="283"/>
      <c r="H149" s="395"/>
      <c r="I149" s="283"/>
      <c r="J149" s="285"/>
      <c r="K149" s="285"/>
      <c r="L149" s="285"/>
      <c r="M149" s="286"/>
      <c r="N149" s="285"/>
      <c r="O149" s="455"/>
      <c r="P149" s="455"/>
      <c r="Q149" s="455"/>
      <c r="R149" s="444"/>
      <c r="S149" s="444"/>
      <c r="T149" s="287"/>
      <c r="U149" s="287"/>
      <c r="V149" s="286"/>
      <c r="W149" s="288"/>
      <c r="X149" s="284"/>
      <c r="AA149" s="284"/>
      <c r="AB149" s="289"/>
    </row>
    <row r="150" spans="1:28" s="282" customFormat="1" hidden="1">
      <c r="A150" s="281" t="s">
        <v>87</v>
      </c>
      <c r="C150" s="283"/>
      <c r="D150" s="284"/>
      <c r="F150" s="283"/>
      <c r="G150" s="283"/>
      <c r="H150" s="395"/>
      <c r="I150" s="283"/>
      <c r="J150" s="285"/>
      <c r="K150" s="285"/>
      <c r="L150" s="285"/>
      <c r="M150" s="286"/>
      <c r="N150" s="285"/>
      <c r="O150" s="455"/>
      <c r="P150" s="455"/>
      <c r="Q150" s="455"/>
      <c r="R150" s="444"/>
      <c r="S150" s="444"/>
      <c r="T150" s="287"/>
      <c r="U150" s="287"/>
      <c r="V150" s="286"/>
      <c r="W150" s="288"/>
      <c r="X150" s="284"/>
      <c r="AA150" s="284"/>
      <c r="AB150" s="289"/>
    </row>
    <row r="151" spans="1:28" s="282" customFormat="1" hidden="1">
      <c r="A151" s="281" t="s">
        <v>23</v>
      </c>
      <c r="C151" s="283"/>
      <c r="D151" s="284"/>
      <c r="F151" s="283"/>
      <c r="G151" s="283"/>
      <c r="H151" s="395"/>
      <c r="I151" s="283"/>
      <c r="J151" s="285"/>
      <c r="K151" s="285"/>
      <c r="L151" s="285"/>
      <c r="M151" s="286"/>
      <c r="N151" s="285"/>
      <c r="O151" s="455">
        <v>5</v>
      </c>
      <c r="P151" s="455"/>
      <c r="Q151" s="455"/>
      <c r="R151" s="444"/>
      <c r="S151" s="444"/>
      <c r="T151" s="287"/>
      <c r="U151" s="287"/>
      <c r="V151" s="286"/>
      <c r="W151" s="288"/>
      <c r="X151" s="284"/>
      <c r="AA151" s="284"/>
      <c r="AB151" s="289"/>
    </row>
    <row r="152" spans="1:28" s="282" customFormat="1" hidden="1">
      <c r="A152" s="281" t="s">
        <v>29</v>
      </c>
      <c r="C152" s="283"/>
      <c r="D152" s="284"/>
      <c r="F152" s="283"/>
      <c r="G152" s="283"/>
      <c r="H152" s="395"/>
      <c r="I152" s="283"/>
      <c r="J152" s="285"/>
      <c r="K152" s="285"/>
      <c r="L152" s="285"/>
      <c r="M152" s="286"/>
      <c r="N152" s="285"/>
      <c r="O152" s="455"/>
      <c r="P152" s="455"/>
      <c r="Q152" s="455"/>
      <c r="R152" s="444"/>
      <c r="S152" s="444"/>
      <c r="T152" s="287"/>
      <c r="U152" s="287"/>
      <c r="V152" s="286"/>
      <c r="W152" s="288"/>
      <c r="X152" s="284"/>
      <c r="AA152" s="284"/>
      <c r="AB152" s="289"/>
    </row>
    <row r="153" spans="1:28" s="282" customFormat="1" hidden="1">
      <c r="A153" s="290"/>
      <c r="C153" s="283"/>
      <c r="D153" s="284"/>
      <c r="F153" s="283"/>
      <c r="G153" s="283"/>
      <c r="H153" s="395"/>
      <c r="I153" s="283"/>
      <c r="J153" s="285"/>
      <c r="K153" s="285"/>
      <c r="L153" s="285"/>
      <c r="M153" s="286"/>
      <c r="N153" s="285"/>
      <c r="O153" s="455"/>
      <c r="P153" s="455"/>
      <c r="Q153" s="455"/>
      <c r="R153" s="444"/>
      <c r="S153" s="444"/>
      <c r="T153" s="287"/>
      <c r="U153" s="287"/>
      <c r="V153" s="286"/>
      <c r="W153" s="288"/>
      <c r="X153" s="284"/>
      <c r="AA153" s="284"/>
      <c r="AB153" s="289"/>
    </row>
    <row r="154" spans="1:28" s="282" customFormat="1" hidden="1">
      <c r="A154" s="290"/>
      <c r="C154" s="283"/>
      <c r="D154" s="284"/>
      <c r="F154" s="283"/>
      <c r="G154" s="283"/>
      <c r="H154" s="395"/>
      <c r="I154" s="283"/>
      <c r="J154" s="285"/>
      <c r="K154" s="285"/>
      <c r="L154" s="285"/>
      <c r="M154" s="286"/>
      <c r="N154" s="285"/>
      <c r="O154" s="455"/>
      <c r="P154" s="455"/>
      <c r="Q154" s="455"/>
      <c r="R154" s="444"/>
      <c r="S154" s="444"/>
      <c r="T154" s="287"/>
      <c r="U154" s="287"/>
      <c r="V154" s="286"/>
      <c r="W154" s="288"/>
      <c r="X154" s="284"/>
      <c r="AA154" s="284"/>
      <c r="AB154" s="289"/>
    </row>
    <row r="155" spans="1:28" s="282" customFormat="1" hidden="1">
      <c r="A155" s="290"/>
      <c r="C155" s="283"/>
      <c r="D155" s="284"/>
      <c r="F155" s="283"/>
      <c r="G155" s="283"/>
      <c r="H155" s="395"/>
      <c r="I155" s="283"/>
      <c r="J155" s="285"/>
      <c r="K155" s="285"/>
      <c r="L155" s="285"/>
      <c r="M155" s="286"/>
      <c r="N155" s="285"/>
      <c r="O155" s="455"/>
      <c r="P155" s="455"/>
      <c r="Q155" s="455"/>
      <c r="R155" s="444"/>
      <c r="S155" s="444"/>
      <c r="T155" s="287"/>
      <c r="U155" s="287"/>
      <c r="V155" s="286"/>
      <c r="W155" s="288"/>
      <c r="X155" s="284"/>
      <c r="AA155" s="284"/>
      <c r="AB155" s="289"/>
    </row>
    <row r="156" spans="1:28" s="264" customFormat="1" hidden="1">
      <c r="A156" s="270"/>
      <c r="C156" s="265"/>
      <c r="D156" s="266"/>
      <c r="F156" s="265"/>
      <c r="G156" s="265"/>
      <c r="H156" s="394"/>
      <c r="I156" s="265"/>
      <c r="J156" s="267"/>
      <c r="K156" s="267"/>
      <c r="L156" s="267"/>
      <c r="M156" s="268"/>
      <c r="N156" s="267"/>
      <c r="O156" s="454"/>
      <c r="P156" s="454"/>
      <c r="Q156" s="454"/>
      <c r="R156" s="443"/>
      <c r="S156" s="443"/>
      <c r="T156" s="269"/>
      <c r="U156" s="269"/>
      <c r="V156" s="268"/>
      <c r="W156" s="273"/>
      <c r="X156" s="266"/>
      <c r="AA156" s="266"/>
      <c r="AB156" s="279"/>
    </row>
    <row r="157" spans="1:28" s="264" customFormat="1" hidden="1">
      <c r="A157" s="270"/>
      <c r="C157" s="265"/>
      <c r="D157" s="266"/>
      <c r="F157" s="265"/>
      <c r="G157" s="265"/>
      <c r="H157" s="394"/>
      <c r="I157" s="265"/>
      <c r="J157" s="267"/>
      <c r="K157" s="267"/>
      <c r="L157" s="267"/>
      <c r="M157" s="268"/>
      <c r="N157" s="267"/>
      <c r="O157" s="454"/>
      <c r="P157" s="454"/>
      <c r="Q157" s="454"/>
      <c r="R157" s="443"/>
      <c r="S157" s="443"/>
      <c r="T157" s="269"/>
      <c r="U157" s="269"/>
      <c r="V157" s="268"/>
      <c r="W157" s="273"/>
      <c r="X157" s="266"/>
      <c r="AA157" s="266"/>
      <c r="AB157" s="279"/>
    </row>
    <row r="158" spans="1:28" s="264" customFormat="1" hidden="1">
      <c r="A158" s="290"/>
      <c r="B158" s="282"/>
      <c r="C158" s="283"/>
      <c r="D158" s="266"/>
      <c r="F158" s="265"/>
      <c r="G158" s="265"/>
      <c r="H158" s="394"/>
      <c r="I158" s="265"/>
      <c r="J158" s="267"/>
      <c r="K158" s="267"/>
      <c r="L158" s="267"/>
      <c r="M158" s="268"/>
      <c r="N158" s="267"/>
      <c r="O158" s="454"/>
      <c r="P158" s="454"/>
      <c r="Q158" s="454"/>
      <c r="R158" s="443"/>
      <c r="S158" s="443"/>
      <c r="T158" s="269"/>
      <c r="U158" s="269"/>
      <c r="V158" s="268"/>
      <c r="W158" s="273"/>
      <c r="X158" s="266"/>
      <c r="AA158" s="266"/>
      <c r="AB158" s="279"/>
    </row>
    <row r="159" spans="1:28" s="264" customFormat="1" hidden="1">
      <c r="A159" s="290"/>
      <c r="B159" s="282"/>
      <c r="C159" s="283"/>
      <c r="D159" s="266"/>
      <c r="F159" s="265"/>
      <c r="G159" s="265"/>
      <c r="H159" s="394"/>
      <c r="I159" s="265"/>
      <c r="J159" s="267"/>
      <c r="K159" s="267"/>
      <c r="L159" s="267"/>
      <c r="M159" s="268"/>
      <c r="N159" s="267"/>
      <c r="O159" s="454"/>
      <c r="P159" s="454"/>
      <c r="Q159" s="454"/>
      <c r="R159" s="443"/>
      <c r="S159" s="443"/>
      <c r="T159" s="269"/>
      <c r="U159" s="269"/>
      <c r="V159" s="268"/>
      <c r="W159" s="273"/>
      <c r="X159" s="266"/>
      <c r="AA159" s="266"/>
      <c r="AB159" s="279"/>
    </row>
    <row r="160" spans="1:28" s="264" customFormat="1" hidden="1">
      <c r="A160" s="290"/>
      <c r="B160" s="282"/>
      <c r="C160" s="283"/>
      <c r="D160" s="266"/>
      <c r="F160" s="265"/>
      <c r="G160" s="265"/>
      <c r="H160" s="394"/>
      <c r="I160" s="265"/>
      <c r="J160" s="267"/>
      <c r="K160" s="267"/>
      <c r="L160" s="267"/>
      <c r="M160" s="268"/>
      <c r="N160" s="267"/>
      <c r="O160" s="454"/>
      <c r="P160" s="454"/>
      <c r="Q160" s="454"/>
      <c r="R160" s="443"/>
      <c r="S160" s="443"/>
      <c r="T160" s="269"/>
      <c r="U160" s="269"/>
      <c r="V160" s="268"/>
      <c r="W160" s="273"/>
      <c r="X160" s="266"/>
      <c r="AA160" s="266"/>
      <c r="AB160" s="279"/>
    </row>
    <row r="161" spans="1:28" s="264" customFormat="1" ht="30" hidden="1">
      <c r="A161" s="290" t="s">
        <v>41</v>
      </c>
      <c r="B161" s="282"/>
      <c r="C161" s="283"/>
      <c r="D161" s="266"/>
      <c r="F161" s="265"/>
      <c r="G161" s="265"/>
      <c r="H161" s="394"/>
      <c r="I161" s="265"/>
      <c r="J161" s="267"/>
      <c r="K161" s="267"/>
      <c r="L161" s="267"/>
      <c r="M161" s="268"/>
      <c r="N161" s="267"/>
      <c r="O161" s="454"/>
      <c r="P161" s="454"/>
      <c r="Q161" s="454"/>
      <c r="R161" s="443"/>
      <c r="S161" s="443"/>
      <c r="T161" s="269"/>
      <c r="U161" s="269"/>
      <c r="V161" s="268"/>
      <c r="W161" s="273"/>
      <c r="X161" s="266"/>
      <c r="AA161" s="266"/>
      <c r="AB161" s="279"/>
    </row>
    <row r="162" spans="1:28" s="264" customFormat="1" ht="30" hidden="1">
      <c r="A162" s="290" t="s">
        <v>42</v>
      </c>
      <c r="B162" s="282"/>
      <c r="C162" s="283"/>
      <c r="D162" s="266"/>
      <c r="F162" s="265"/>
      <c r="G162" s="265"/>
      <c r="H162" s="394"/>
      <c r="I162" s="265"/>
      <c r="J162" s="267"/>
      <c r="K162" s="267"/>
      <c r="L162" s="267"/>
      <c r="M162" s="268"/>
      <c r="N162" s="267"/>
      <c r="O162" s="454"/>
      <c r="P162" s="454"/>
      <c r="Q162" s="454"/>
      <c r="R162" s="443"/>
      <c r="S162" s="443"/>
      <c r="T162" s="269"/>
      <c r="U162" s="269"/>
      <c r="V162" s="268"/>
      <c r="W162" s="273"/>
      <c r="X162" s="266"/>
      <c r="AA162" s="266"/>
      <c r="AB162" s="279"/>
    </row>
    <row r="163" spans="1:28" s="264" customFormat="1" ht="60" hidden="1">
      <c r="A163" s="400" t="s">
        <v>27</v>
      </c>
      <c r="B163" s="282"/>
      <c r="C163" s="283"/>
      <c r="D163" s="266"/>
      <c r="F163" s="265"/>
      <c r="G163" s="265"/>
      <c r="H163" s="394"/>
      <c r="I163" s="265"/>
      <c r="J163" s="267"/>
      <c r="K163" s="267"/>
      <c r="L163" s="267"/>
      <c r="M163" s="268"/>
      <c r="N163" s="267"/>
      <c r="O163" s="454"/>
      <c r="P163" s="454"/>
      <c r="Q163" s="454"/>
      <c r="R163" s="443"/>
      <c r="S163" s="443"/>
      <c r="T163" s="269"/>
      <c r="U163" s="269"/>
      <c r="V163" s="268"/>
      <c r="W163" s="273"/>
      <c r="X163" s="266"/>
      <c r="AA163" s="266"/>
      <c r="AB163" s="279"/>
    </row>
    <row r="164" spans="1:28" s="264" customFormat="1" hidden="1">
      <c r="A164" s="400" t="s">
        <v>28</v>
      </c>
      <c r="B164" s="282"/>
      <c r="C164" s="283"/>
      <c r="D164" s="266"/>
      <c r="F164" s="265"/>
      <c r="G164" s="265"/>
      <c r="H164" s="394"/>
      <c r="I164" s="265"/>
      <c r="J164" s="267"/>
      <c r="K164" s="267"/>
      <c r="L164" s="267"/>
      <c r="M164" s="268"/>
      <c r="N164" s="267"/>
      <c r="O164" s="454"/>
      <c r="P164" s="454"/>
      <c r="Q164" s="454"/>
      <c r="R164" s="443"/>
      <c r="S164" s="443"/>
      <c r="T164" s="269"/>
      <c r="U164" s="269"/>
      <c r="V164" s="268"/>
      <c r="W164" s="273"/>
      <c r="X164" s="266"/>
      <c r="AA164" s="266"/>
      <c r="AB164" s="279"/>
    </row>
    <row r="165" spans="1:28" s="264" customFormat="1" ht="45" hidden="1">
      <c r="A165" s="400" t="s">
        <v>43</v>
      </c>
      <c r="B165" s="282"/>
      <c r="C165" s="283"/>
      <c r="D165" s="266"/>
      <c r="F165" s="265"/>
      <c r="G165" s="265"/>
      <c r="H165" s="394"/>
      <c r="I165" s="265"/>
      <c r="J165" s="267"/>
      <c r="K165" s="267"/>
      <c r="L165" s="267"/>
      <c r="M165" s="268"/>
      <c r="N165" s="267"/>
      <c r="O165" s="454"/>
      <c r="P165" s="454"/>
      <c r="Q165" s="454"/>
      <c r="R165" s="443"/>
      <c r="S165" s="443"/>
      <c r="T165" s="269"/>
      <c r="U165" s="269"/>
      <c r="V165" s="268"/>
      <c r="W165" s="273"/>
      <c r="X165" s="266"/>
      <c r="AA165" s="266"/>
      <c r="AB165" s="279"/>
    </row>
    <row r="166" spans="1:28" s="264" customFormat="1" hidden="1">
      <c r="A166" s="183" t="s">
        <v>29</v>
      </c>
      <c r="B166" s="282"/>
      <c r="C166" s="283"/>
      <c r="D166" s="266"/>
      <c r="F166" s="265"/>
      <c r="G166" s="265"/>
      <c r="H166" s="394"/>
      <c r="I166" s="265"/>
      <c r="J166" s="267"/>
      <c r="K166" s="267"/>
      <c r="L166" s="267"/>
      <c r="M166" s="268"/>
      <c r="N166" s="267"/>
      <c r="O166" s="454"/>
      <c r="P166" s="454"/>
      <c r="Q166" s="454"/>
      <c r="R166" s="443"/>
      <c r="S166" s="443"/>
      <c r="T166" s="269"/>
      <c r="U166" s="269"/>
      <c r="V166" s="268"/>
      <c r="W166" s="273"/>
      <c r="X166" s="266"/>
      <c r="AA166" s="266"/>
      <c r="AB166" s="279"/>
    </row>
    <row r="167" spans="1:28" s="264" customFormat="1" hidden="1">
      <c r="A167" s="400" t="s">
        <v>44</v>
      </c>
      <c r="B167" s="282"/>
      <c r="C167" s="283"/>
      <c r="D167" s="266"/>
      <c r="F167" s="265"/>
      <c r="G167" s="265"/>
      <c r="H167" s="394"/>
      <c r="I167" s="265"/>
      <c r="J167" s="267"/>
      <c r="K167" s="267"/>
      <c r="L167" s="267"/>
      <c r="M167" s="268"/>
      <c r="N167" s="267"/>
      <c r="O167" s="454"/>
      <c r="P167" s="454"/>
      <c r="Q167" s="454"/>
      <c r="R167" s="443"/>
      <c r="S167" s="443"/>
      <c r="T167" s="269"/>
      <c r="U167" s="269"/>
      <c r="V167" s="268"/>
      <c r="W167" s="273"/>
      <c r="X167" s="266"/>
      <c r="AA167" s="266"/>
      <c r="AB167" s="279"/>
    </row>
    <row r="168" spans="1:28" s="264" customFormat="1" ht="30" hidden="1">
      <c r="A168" s="400" t="s">
        <v>45</v>
      </c>
      <c r="B168" s="282"/>
      <c r="C168" s="283"/>
      <c r="D168" s="266"/>
      <c r="F168" s="265"/>
      <c r="G168" s="265"/>
      <c r="H168" s="394"/>
      <c r="I168" s="265"/>
      <c r="J168" s="267"/>
      <c r="K168" s="267"/>
      <c r="L168" s="267"/>
      <c r="M168" s="268"/>
      <c r="N168" s="267"/>
      <c r="O168" s="454"/>
      <c r="P168" s="454"/>
      <c r="Q168" s="454"/>
      <c r="R168" s="443"/>
      <c r="S168" s="443"/>
      <c r="T168" s="269"/>
      <c r="U168" s="269"/>
      <c r="V168" s="268"/>
      <c r="W168" s="273"/>
      <c r="X168" s="266"/>
      <c r="AA168" s="266"/>
      <c r="AB168" s="279"/>
    </row>
    <row r="169" spans="1:28" s="264" customFormat="1" hidden="1">
      <c r="A169" s="400" t="s">
        <v>23</v>
      </c>
      <c r="B169" s="282"/>
      <c r="C169" s="283"/>
      <c r="D169" s="266"/>
      <c r="F169" s="265"/>
      <c r="G169" s="265"/>
      <c r="H169" s="394"/>
      <c r="I169" s="265"/>
      <c r="J169" s="267"/>
      <c r="K169" s="267"/>
      <c r="L169" s="267"/>
      <c r="M169" s="268"/>
      <c r="N169" s="267"/>
      <c r="O169" s="454"/>
      <c r="P169" s="454"/>
      <c r="Q169" s="454"/>
      <c r="R169" s="443"/>
      <c r="S169" s="443"/>
      <c r="T169" s="269"/>
      <c r="U169" s="269"/>
      <c r="V169" s="268"/>
      <c r="W169" s="273"/>
      <c r="X169" s="266"/>
      <c r="AA169" s="266"/>
      <c r="AB169" s="279"/>
    </row>
    <row r="170" spans="1:28" s="264" customFormat="1">
      <c r="A170" s="271" t="s">
        <v>29</v>
      </c>
      <c r="C170" s="265"/>
      <c r="D170" s="266"/>
      <c r="F170" s="265"/>
      <c r="G170" s="265"/>
      <c r="H170" s="394"/>
      <c r="I170" s="265"/>
      <c r="J170" s="267"/>
      <c r="K170" s="267"/>
      <c r="L170" s="267"/>
      <c r="M170" s="268"/>
      <c r="N170" s="267"/>
      <c r="O170" s="454"/>
      <c r="P170" s="454"/>
      <c r="Q170" s="454"/>
      <c r="R170" s="443"/>
      <c r="S170" s="443"/>
      <c r="T170" s="269"/>
      <c r="U170" s="269"/>
      <c r="V170" s="268"/>
      <c r="W170" s="273"/>
      <c r="X170" s="266"/>
      <c r="AA170" s="266"/>
      <c r="AB170" s="279"/>
    </row>
    <row r="171" spans="1:28">
      <c r="A171" s="183"/>
    </row>
    <row r="172" spans="1:28">
      <c r="A172" s="183"/>
    </row>
    <row r="173" spans="1:28">
      <c r="A173" s="183"/>
    </row>
  </sheetData>
  <sheetProtection autoFilter="0"/>
  <autoFilter ref="A3:AB123"/>
  <sortState ref="A3:AJ128">
    <sortCondition ref="AB3:AB128"/>
  </sortState>
  <mergeCells count="1">
    <mergeCell ref="A2:D2"/>
  </mergeCells>
  <conditionalFormatting sqref="H4 R4 V4 M4">
    <cfRule type="containsText" dxfId="4564" priority="1503" operator="containsText" text="Fully Achieved">
      <formula>NOT(ISERROR(SEARCH("Fully Achieved",H4)))</formula>
    </cfRule>
    <cfRule type="containsText" dxfId="4563" priority="1504" operator="containsText" text="Fully Achieved">
      <formula>NOT(ISERROR(SEARCH("Fully Achieved",H4)))</formula>
    </cfRule>
  </conditionalFormatting>
  <conditionalFormatting sqref="H4 R4 V4 M4">
    <cfRule type="containsText" dxfId="4562" priority="1496" operator="containsText" text="Update not Provided">
      <formula>NOT(ISERROR(SEARCH("Update not Provided",H4)))</formula>
    </cfRule>
    <cfRule type="containsText" dxfId="4561" priority="1497" operator="containsText" text="Not yet due">
      <formula>NOT(ISERROR(SEARCH("Not yet due",H4)))</formula>
    </cfRule>
    <cfRule type="containsText" dxfId="4560" priority="1498" operator="containsText" text="Completed Behind Schedule">
      <formula>NOT(ISERROR(SEARCH("Completed Behind Schedule",H4)))</formula>
    </cfRule>
    <cfRule type="containsText" dxfId="4559" priority="1499" operator="containsText" text="Off Target">
      <formula>NOT(ISERROR(SEARCH("Off Target",H4)))</formula>
    </cfRule>
    <cfRule type="containsText" dxfId="4558" priority="1500" operator="containsText" text="In Danger of Falling Behind Target">
      <formula>NOT(ISERROR(SEARCH("In Danger of Falling Behind Target",H4)))</formula>
    </cfRule>
    <cfRule type="containsText" dxfId="4557" priority="1501" operator="containsText" text="On Track to be Achieved">
      <formula>NOT(ISERROR(SEARCH("On Track to be Achieved",H4)))</formula>
    </cfRule>
    <cfRule type="containsText" dxfId="4556" priority="1502" operator="containsText" text="Fully Achieved">
      <formula>NOT(ISERROR(SEARCH("Fully Achieved",H4)))</formula>
    </cfRule>
  </conditionalFormatting>
  <conditionalFormatting sqref="V4">
    <cfRule type="containsText" dxfId="4555" priority="1489" operator="containsText" text="Numerical Outturn Within 10% Tolerance">
      <formula>NOT(ISERROR(SEARCH("Numerical Outturn Within 10% Tolerance",V4)))</formula>
    </cfRule>
    <cfRule type="containsText" dxfId="4554" priority="1490" operator="containsText" text="Numerical Outturn Within 5% Tolerance">
      <formula>NOT(ISERROR(SEARCH("Numerical Outturn Within 5% Tolerance",V4)))</formula>
    </cfRule>
    <cfRule type="containsText" dxfId="4553" priority="1491" operator="containsText" text="Target Achieved / Exceeded">
      <formula>NOT(ISERROR(SEARCH("Target Achieved / Exceeded",V4)))</formula>
    </cfRule>
    <cfRule type="containsText" dxfId="4552" priority="1492" operator="containsText" text="Full Update Not Yet Available">
      <formula>NOT(ISERROR(SEARCH("Full Update Not Yet Available",V4)))</formula>
    </cfRule>
    <cfRule type="containsText" dxfId="4551" priority="1493" operator="containsText" text="Full Update Not Yet Available">
      <formula>NOT(ISERROR(SEARCH("Full Update Not Yet Available",V4)))</formula>
    </cfRule>
  </conditionalFormatting>
  <conditionalFormatting sqref="H4 R4 M4">
    <cfRule type="containsText" dxfId="4550" priority="1339" operator="containsText" text="Not Yet Due">
      <formula>NOT(ISERROR(SEARCH("Not Yet Due",H4)))</formula>
    </cfRule>
    <cfRule type="containsText" dxfId="4549" priority="1428" operator="containsText" text="Deferred">
      <formula>NOT(ISERROR(SEARCH("Deferred",H4)))</formula>
    </cfRule>
    <cfRule type="containsText" dxfId="4548" priority="1429" operator="containsText" text="Deleted">
      <formula>NOT(ISERROR(SEARCH("Deleted",H4)))</formula>
    </cfRule>
    <cfRule type="containsText" dxfId="4547" priority="1435" operator="containsText" text="In Danger of Falling Behind Target">
      <formula>NOT(ISERROR(SEARCH("In Danger of Falling Behind Target",H4)))</formula>
    </cfRule>
    <cfRule type="containsText" dxfId="4546" priority="1471" operator="containsText" text="Not yet due">
      <formula>NOT(ISERROR(SEARCH("Not yet due",H4)))</formula>
    </cfRule>
  </conditionalFormatting>
  <conditionalFormatting sqref="H4 R4 M4">
    <cfRule type="containsText" dxfId="4545" priority="1450" operator="containsText" text="Not yet due">
      <formula>NOT(ISERROR(SEARCH("Not yet due",H4)))</formula>
    </cfRule>
  </conditionalFormatting>
  <conditionalFormatting sqref="H4 R4 M4">
    <cfRule type="containsText" dxfId="4544" priority="1431" operator="containsText" text="Update not Provided">
      <formula>NOT(ISERROR(SEARCH("Update not Provided",H4)))</formula>
    </cfRule>
    <cfRule type="containsText" dxfId="4543" priority="1432" operator="containsText" text="Not yet due">
      <formula>NOT(ISERROR(SEARCH("Not yet due",H4)))</formula>
    </cfRule>
    <cfRule type="containsText" dxfId="4542" priority="1433" operator="containsText" text="Completed Behind Schedule">
      <formula>NOT(ISERROR(SEARCH("Completed Behind Schedule",H4)))</formula>
    </cfRule>
    <cfRule type="containsText" dxfId="4541" priority="1434" operator="containsText" text="Off Target">
      <formula>NOT(ISERROR(SEARCH("Off Target",H4)))</formula>
    </cfRule>
    <cfRule type="containsText" dxfId="4540" priority="1436" operator="containsText" text="On Track to be Achieved">
      <formula>NOT(ISERROR(SEARCH("On Track to be Achieved",H4)))</formula>
    </cfRule>
    <cfRule type="containsText" dxfId="4539" priority="1437" operator="containsText" text="Fully Achieved">
      <formula>NOT(ISERROR(SEARCH("Fully Achieved",H4)))</formula>
    </cfRule>
  </conditionalFormatting>
  <conditionalFormatting sqref="R4 M4">
    <cfRule type="containsText" dxfId="4538" priority="1427" operator="containsText" text="Deferred">
      <formula>NOT(ISERROR(SEARCH("Deferred",M4)))</formula>
    </cfRule>
  </conditionalFormatting>
  <conditionalFormatting sqref="H4 R4 M4">
    <cfRule type="containsText" dxfId="4537" priority="1347" operator="containsText" text="Deferred">
      <formula>NOT(ISERROR(SEARCH("Deferred",H4)))</formula>
    </cfRule>
    <cfRule type="containsText" dxfId="4536" priority="1348" operator="containsText" text="Deleted">
      <formula>NOT(ISERROR(SEARCH("Deleted",H4)))</formula>
    </cfRule>
    <cfRule type="containsText" dxfId="4535" priority="1349" operator="containsText" text="In Danger of Falling Behind Target">
      <formula>NOT(ISERROR(SEARCH("In Danger of Falling Behind Target",H4)))</formula>
    </cfRule>
    <cfRule type="containsText" dxfId="4534" priority="1350" operator="containsText" text="Not yet due">
      <formula>NOT(ISERROR(SEARCH("Not yet due",H4)))</formula>
    </cfRule>
  </conditionalFormatting>
  <conditionalFormatting sqref="V1:V4 V124:V1048576">
    <cfRule type="containsText" dxfId="4533" priority="1010" operator="containsText" text="Deleted">
      <formula>NOT(ISERROR(SEARCH("Deleted",V1)))</formula>
    </cfRule>
    <cfRule type="containsText" dxfId="4532" priority="1011" operator="containsText" text="Deferred">
      <formula>NOT(ISERROR(SEARCH("Deferred",V1)))</formula>
    </cfRule>
    <cfRule type="containsText" dxfId="4531" priority="1012" operator="containsText" text="Completion Date Within Reasonable Tolerance">
      <formula>NOT(ISERROR(SEARCH("Completion Date Within Reasonable Tolerance",V1)))</formula>
    </cfRule>
    <cfRule type="containsText" dxfId="4530" priority="1013" operator="containsText" text="Completed Significantly After Target Deadline">
      <formula>NOT(ISERROR(SEARCH("Completed Significantly After Target Deadline",V1)))</formula>
    </cfRule>
  </conditionalFormatting>
  <conditionalFormatting sqref="H5:H63">
    <cfRule type="containsText" dxfId="4529" priority="696" operator="containsText" text="Fully Achieved">
      <formula>NOT(ISERROR(SEARCH("Fully Achieved",H5)))</formula>
    </cfRule>
    <cfRule type="containsText" dxfId="4528" priority="697" operator="containsText" text="Fully Achieved">
      <formula>NOT(ISERROR(SEARCH("Fully Achieved",H5)))</formula>
    </cfRule>
  </conditionalFormatting>
  <conditionalFormatting sqref="H5:H63">
    <cfRule type="containsText" dxfId="4527" priority="689" operator="containsText" text="Update not Provided">
      <formula>NOT(ISERROR(SEARCH("Update not Provided",H5)))</formula>
    </cfRule>
    <cfRule type="containsText" dxfId="4526" priority="690" operator="containsText" text="Not yet due">
      <formula>NOT(ISERROR(SEARCH("Not yet due",H5)))</formula>
    </cfRule>
    <cfRule type="containsText" dxfId="4525" priority="691" operator="containsText" text="Completed Behind Schedule">
      <formula>NOT(ISERROR(SEARCH("Completed Behind Schedule",H5)))</formula>
    </cfRule>
    <cfRule type="containsText" dxfId="4524" priority="692" operator="containsText" text="Off Target">
      <formula>NOT(ISERROR(SEARCH("Off Target",H5)))</formula>
    </cfRule>
    <cfRule type="containsText" dxfId="4523" priority="693" operator="containsText" text="In Danger of Falling Behind Target">
      <formula>NOT(ISERROR(SEARCH("In Danger of Falling Behind Target",H5)))</formula>
    </cfRule>
    <cfRule type="containsText" dxfId="4522" priority="694" operator="containsText" text="On Track to be Achieved">
      <formula>NOT(ISERROR(SEARCH("On Track to be Achieved",H5)))</formula>
    </cfRule>
    <cfRule type="containsText" dxfId="4521" priority="695" operator="containsText" text="Fully Achieved">
      <formula>NOT(ISERROR(SEARCH("Fully Achieved",H5)))</formula>
    </cfRule>
  </conditionalFormatting>
  <conditionalFormatting sqref="H5:H63">
    <cfRule type="containsText" dxfId="4520" priority="667" operator="containsText" text="Not Yet Due">
      <formula>NOT(ISERROR(SEARCH("Not Yet Due",H5)))</formula>
    </cfRule>
    <cfRule type="containsText" dxfId="4519" priority="673" operator="containsText" text="Deferred">
      <formula>NOT(ISERROR(SEARCH("Deferred",H5)))</formula>
    </cfRule>
    <cfRule type="containsText" dxfId="4518" priority="674" operator="containsText" text="Deleted">
      <formula>NOT(ISERROR(SEARCH("Deleted",H5)))</formula>
    </cfRule>
    <cfRule type="containsText" dxfId="4517" priority="679" operator="containsText" text="In Danger of Falling Behind Target">
      <formula>NOT(ISERROR(SEARCH("In Danger of Falling Behind Target",H5)))</formula>
    </cfRule>
    <cfRule type="containsText" dxfId="4516" priority="683" operator="containsText" text="Not yet due">
      <formula>NOT(ISERROR(SEARCH("Not yet due",H5)))</formula>
    </cfRule>
  </conditionalFormatting>
  <conditionalFormatting sqref="H5:H63">
    <cfRule type="containsText" dxfId="4515" priority="682" operator="containsText" text="Not yet due">
      <formula>NOT(ISERROR(SEARCH("Not yet due",H5)))</formula>
    </cfRule>
  </conditionalFormatting>
  <conditionalFormatting sqref="H5:H63">
    <cfRule type="containsText" dxfId="4514" priority="675" operator="containsText" text="Update not Provided">
      <formula>NOT(ISERROR(SEARCH("Update not Provided",H5)))</formula>
    </cfRule>
    <cfRule type="containsText" dxfId="4513" priority="676" operator="containsText" text="Not yet due">
      <formula>NOT(ISERROR(SEARCH("Not yet due",H5)))</formula>
    </cfRule>
    <cfRule type="containsText" dxfId="4512" priority="677" operator="containsText" text="Completed Behind Schedule">
      <formula>NOT(ISERROR(SEARCH("Completed Behind Schedule",H5)))</formula>
    </cfRule>
    <cfRule type="containsText" dxfId="4511" priority="678" operator="containsText" text="Off Target">
      <formula>NOT(ISERROR(SEARCH("Off Target",H5)))</formula>
    </cfRule>
    <cfRule type="containsText" dxfId="4510" priority="680" operator="containsText" text="On Track to be Achieved">
      <formula>NOT(ISERROR(SEARCH("On Track to be Achieved",H5)))</formula>
    </cfRule>
    <cfRule type="containsText" dxfId="4509" priority="681" operator="containsText" text="Fully Achieved">
      <formula>NOT(ISERROR(SEARCH("Fully Achieved",H5)))</formula>
    </cfRule>
  </conditionalFormatting>
  <conditionalFormatting sqref="H5:H63">
    <cfRule type="containsText" dxfId="4508" priority="668" operator="containsText" text="Deferred">
      <formula>NOT(ISERROR(SEARCH("Deferred",H5)))</formula>
    </cfRule>
    <cfRule type="containsText" dxfId="4507" priority="669" operator="containsText" text="Deleted">
      <formula>NOT(ISERROR(SEARCH("Deleted",H5)))</formula>
    </cfRule>
    <cfRule type="containsText" dxfId="4506" priority="670" operator="containsText" text="In Danger of Falling Behind Target">
      <formula>NOT(ISERROR(SEARCH("In Danger of Falling Behind Target",H5)))</formula>
    </cfRule>
    <cfRule type="containsText" dxfId="4505" priority="671" operator="containsText" text="Not yet due">
      <formula>NOT(ISERROR(SEARCH("Not yet due",H5)))</formula>
    </cfRule>
  </conditionalFormatting>
  <conditionalFormatting sqref="H65:H86">
    <cfRule type="containsText" dxfId="4504" priority="660" operator="containsText" text="Fully Achieved">
      <formula>NOT(ISERROR(SEARCH("Fully Achieved",H65)))</formula>
    </cfRule>
    <cfRule type="containsText" dxfId="4503" priority="661" operator="containsText" text="Fully Achieved">
      <formula>NOT(ISERROR(SEARCH("Fully Achieved",H65)))</formula>
    </cfRule>
  </conditionalFormatting>
  <conditionalFormatting sqref="H65:H86">
    <cfRule type="containsText" dxfId="4502" priority="653" operator="containsText" text="Update not Provided">
      <formula>NOT(ISERROR(SEARCH("Update not Provided",H65)))</formula>
    </cfRule>
    <cfRule type="containsText" dxfId="4501" priority="654" operator="containsText" text="Not yet due">
      <formula>NOT(ISERROR(SEARCH("Not yet due",H65)))</formula>
    </cfRule>
    <cfRule type="containsText" dxfId="4500" priority="655" operator="containsText" text="Completed Behind Schedule">
      <formula>NOT(ISERROR(SEARCH("Completed Behind Schedule",H65)))</formula>
    </cfRule>
    <cfRule type="containsText" dxfId="4499" priority="656" operator="containsText" text="Off Target">
      <formula>NOT(ISERROR(SEARCH("Off Target",H65)))</formula>
    </cfRule>
    <cfRule type="containsText" dxfId="4498" priority="657" operator="containsText" text="In Danger of Falling Behind Target">
      <formula>NOT(ISERROR(SEARCH("In Danger of Falling Behind Target",H65)))</formula>
    </cfRule>
    <cfRule type="containsText" dxfId="4497" priority="658" operator="containsText" text="On Track to be Achieved">
      <formula>NOT(ISERROR(SEARCH("On Track to be Achieved",H65)))</formula>
    </cfRule>
    <cfRule type="containsText" dxfId="4496" priority="659" operator="containsText" text="Fully Achieved">
      <formula>NOT(ISERROR(SEARCH("Fully Achieved",H65)))</formula>
    </cfRule>
  </conditionalFormatting>
  <conditionalFormatting sqref="H65:H86">
    <cfRule type="containsText" dxfId="4495" priority="641" operator="containsText" text="Update not Provided">
      <formula>NOT(ISERROR(SEARCH("Update not Provided",H65)))</formula>
    </cfRule>
    <cfRule type="containsText" dxfId="4494" priority="643" operator="containsText" text="Completed Behind Schedule">
      <formula>NOT(ISERROR(SEARCH("Completed Behind Schedule",H65)))</formula>
    </cfRule>
    <cfRule type="containsText" dxfId="4493" priority="644" operator="containsText" text="Off Target">
      <formula>NOT(ISERROR(SEARCH("Off Target",H65)))</formula>
    </cfRule>
    <cfRule type="containsText" dxfId="4492" priority="645" operator="containsText" text="In Danger of Falling Behind Target">
      <formula>NOT(ISERROR(SEARCH("In Danger of Falling Behind Target",H65)))</formula>
    </cfRule>
    <cfRule type="containsText" dxfId="4491" priority="646" operator="containsText" text="On Track to be Achieved">
      <formula>NOT(ISERROR(SEARCH("On Track to be Achieved",H65)))</formula>
    </cfRule>
    <cfRule type="containsText" dxfId="4490" priority="647" operator="containsText" text="Fully Achieved">
      <formula>NOT(ISERROR(SEARCH("Fully Achieved",H65)))</formula>
    </cfRule>
  </conditionalFormatting>
  <conditionalFormatting sqref="H65:H86">
    <cfRule type="containsText" dxfId="4489" priority="625" operator="containsText" text="Not Yet Due">
      <formula>NOT(ISERROR(SEARCH("Not Yet Due",H65)))</formula>
    </cfRule>
    <cfRule type="containsText" dxfId="4488" priority="631" operator="containsText" text="Deferred">
      <formula>NOT(ISERROR(SEARCH("Deferred",H65)))</formula>
    </cfRule>
    <cfRule type="containsText" dxfId="4487" priority="632" operator="containsText" text="Deleted">
      <formula>NOT(ISERROR(SEARCH("Deleted",H65)))</formula>
    </cfRule>
    <cfRule type="containsText" dxfId="4486" priority="637" operator="containsText" text="In Danger of Falling Behind Target">
      <formula>NOT(ISERROR(SEARCH("In Danger of Falling Behind Target",H65)))</formula>
    </cfRule>
    <cfRule type="containsText" dxfId="4485" priority="642" operator="containsText" text="Not yet due">
      <formula>NOT(ISERROR(SEARCH("Not yet due",H65)))</formula>
    </cfRule>
  </conditionalFormatting>
  <conditionalFormatting sqref="H65:H86">
    <cfRule type="containsText" dxfId="4484" priority="640" operator="containsText" text="Not yet due">
      <formula>NOT(ISERROR(SEARCH("Not yet due",H65)))</formula>
    </cfRule>
  </conditionalFormatting>
  <conditionalFormatting sqref="H65:H86">
    <cfRule type="containsText" dxfId="4483" priority="633" operator="containsText" text="Update not Provided">
      <formula>NOT(ISERROR(SEARCH("Update not Provided",H65)))</formula>
    </cfRule>
    <cfRule type="containsText" dxfId="4482" priority="634" operator="containsText" text="Not yet due">
      <formula>NOT(ISERROR(SEARCH("Not yet due",H65)))</formula>
    </cfRule>
    <cfRule type="containsText" dxfId="4481" priority="635" operator="containsText" text="Completed Behind Schedule">
      <formula>NOT(ISERROR(SEARCH("Completed Behind Schedule",H65)))</formula>
    </cfRule>
    <cfRule type="containsText" dxfId="4480" priority="636" operator="containsText" text="Off Target">
      <formula>NOT(ISERROR(SEARCH("Off Target",H65)))</formula>
    </cfRule>
    <cfRule type="containsText" dxfId="4479" priority="638" operator="containsText" text="On Track to be Achieved">
      <formula>NOT(ISERROR(SEARCH("On Track to be Achieved",H65)))</formula>
    </cfRule>
    <cfRule type="containsText" dxfId="4478" priority="639" operator="containsText" text="Fully Achieved">
      <formula>NOT(ISERROR(SEARCH("Fully Achieved",H65)))</formula>
    </cfRule>
  </conditionalFormatting>
  <conditionalFormatting sqref="H65:H86">
    <cfRule type="containsText" dxfId="4477" priority="626" operator="containsText" text="Deferred">
      <formula>NOT(ISERROR(SEARCH("Deferred",H65)))</formula>
    </cfRule>
    <cfRule type="containsText" dxfId="4476" priority="627" operator="containsText" text="Deleted">
      <formula>NOT(ISERROR(SEARCH("Deleted",H65)))</formula>
    </cfRule>
    <cfRule type="containsText" dxfId="4475" priority="628" operator="containsText" text="In Danger of Falling Behind Target">
      <formula>NOT(ISERROR(SEARCH("In Danger of Falling Behind Target",H65)))</formula>
    </cfRule>
    <cfRule type="containsText" dxfId="4474" priority="629" operator="containsText" text="Not yet due">
      <formula>NOT(ISERROR(SEARCH("Not yet due",H65)))</formula>
    </cfRule>
  </conditionalFormatting>
  <conditionalFormatting sqref="H88:H123">
    <cfRule type="containsText" dxfId="4473" priority="618" operator="containsText" text="Fully Achieved">
      <formula>NOT(ISERROR(SEARCH("Fully Achieved",H88)))</formula>
    </cfRule>
    <cfRule type="containsText" dxfId="4472" priority="619" operator="containsText" text="Fully Achieved">
      <formula>NOT(ISERROR(SEARCH("Fully Achieved",H88)))</formula>
    </cfRule>
  </conditionalFormatting>
  <conditionalFormatting sqref="H88:H123">
    <cfRule type="containsText" dxfId="4471" priority="611" operator="containsText" text="Update not Provided">
      <formula>NOT(ISERROR(SEARCH("Update not Provided",H88)))</formula>
    </cfRule>
    <cfRule type="containsText" dxfId="4470" priority="612" operator="containsText" text="Not yet due">
      <formula>NOT(ISERROR(SEARCH("Not yet due",H88)))</formula>
    </cfRule>
    <cfRule type="containsText" dxfId="4469" priority="613" operator="containsText" text="Completed Behind Schedule">
      <formula>NOT(ISERROR(SEARCH("Completed Behind Schedule",H88)))</formula>
    </cfRule>
    <cfRule type="containsText" dxfId="4468" priority="614" operator="containsText" text="Off Target">
      <formula>NOT(ISERROR(SEARCH("Off Target",H88)))</formula>
    </cfRule>
    <cfRule type="containsText" dxfId="4467" priority="615" operator="containsText" text="In Danger of Falling Behind Target">
      <formula>NOT(ISERROR(SEARCH("In Danger of Falling Behind Target",H88)))</formula>
    </cfRule>
    <cfRule type="containsText" dxfId="4466" priority="616" operator="containsText" text="On Track to be Achieved">
      <formula>NOT(ISERROR(SEARCH("On Track to be Achieved",H88)))</formula>
    </cfRule>
    <cfRule type="containsText" dxfId="4465" priority="617" operator="containsText" text="Fully Achieved">
      <formula>NOT(ISERROR(SEARCH("Fully Achieved",H88)))</formula>
    </cfRule>
  </conditionalFormatting>
  <conditionalFormatting sqref="H88:H123">
    <cfRule type="containsText" dxfId="4464" priority="599" operator="containsText" text="Update not Provided">
      <formula>NOT(ISERROR(SEARCH("Update not Provided",H88)))</formula>
    </cfRule>
    <cfRule type="containsText" dxfId="4463" priority="601" operator="containsText" text="Completed Behind Schedule">
      <formula>NOT(ISERROR(SEARCH("Completed Behind Schedule",H88)))</formula>
    </cfRule>
    <cfRule type="containsText" dxfId="4462" priority="602" operator="containsText" text="Off Target">
      <formula>NOT(ISERROR(SEARCH("Off Target",H88)))</formula>
    </cfRule>
    <cfRule type="containsText" dxfId="4461" priority="603" operator="containsText" text="In Danger of Falling Behind Target">
      <formula>NOT(ISERROR(SEARCH("In Danger of Falling Behind Target",H88)))</formula>
    </cfRule>
    <cfRule type="containsText" dxfId="4460" priority="604" operator="containsText" text="On Track to be Achieved">
      <formula>NOT(ISERROR(SEARCH("On Track to be Achieved",H88)))</formula>
    </cfRule>
    <cfRule type="containsText" dxfId="4459" priority="605" operator="containsText" text="Fully Achieved">
      <formula>NOT(ISERROR(SEARCH("Fully Achieved",H88)))</formula>
    </cfRule>
  </conditionalFormatting>
  <conditionalFormatting sqref="H88:H123">
    <cfRule type="containsText" dxfId="4458" priority="583" operator="containsText" text="Not Yet Due">
      <formula>NOT(ISERROR(SEARCH("Not Yet Due",H88)))</formula>
    </cfRule>
    <cfRule type="containsText" dxfId="4457" priority="589" operator="containsText" text="Deferred">
      <formula>NOT(ISERROR(SEARCH("Deferred",H88)))</formula>
    </cfRule>
    <cfRule type="containsText" dxfId="4456" priority="590" operator="containsText" text="Deleted">
      <formula>NOT(ISERROR(SEARCH("Deleted",H88)))</formula>
    </cfRule>
    <cfRule type="containsText" dxfId="4455" priority="595" operator="containsText" text="In Danger of Falling Behind Target">
      <formula>NOT(ISERROR(SEARCH("In Danger of Falling Behind Target",H88)))</formula>
    </cfRule>
    <cfRule type="containsText" dxfId="4454" priority="600" operator="containsText" text="Not yet due">
      <formula>NOT(ISERROR(SEARCH("Not yet due",H88)))</formula>
    </cfRule>
  </conditionalFormatting>
  <conditionalFormatting sqref="H88:H123">
    <cfRule type="containsText" dxfId="4453" priority="598" operator="containsText" text="Not yet due">
      <formula>NOT(ISERROR(SEARCH("Not yet due",H88)))</formula>
    </cfRule>
  </conditionalFormatting>
  <conditionalFormatting sqref="H88:H123">
    <cfRule type="containsText" dxfId="4452" priority="591" operator="containsText" text="Update not Provided">
      <formula>NOT(ISERROR(SEARCH("Update not Provided",H88)))</formula>
    </cfRule>
    <cfRule type="containsText" dxfId="4451" priority="592" operator="containsText" text="Not yet due">
      <formula>NOT(ISERROR(SEARCH("Not yet due",H88)))</formula>
    </cfRule>
    <cfRule type="containsText" dxfId="4450" priority="593" operator="containsText" text="Completed Behind Schedule">
      <formula>NOT(ISERROR(SEARCH("Completed Behind Schedule",H88)))</formula>
    </cfRule>
    <cfRule type="containsText" dxfId="4449" priority="594" operator="containsText" text="Off Target">
      <formula>NOT(ISERROR(SEARCH("Off Target",H88)))</formula>
    </cfRule>
    <cfRule type="containsText" dxfId="4448" priority="596" operator="containsText" text="On Track to be Achieved">
      <formula>NOT(ISERROR(SEARCH("On Track to be Achieved",H88)))</formula>
    </cfRule>
    <cfRule type="containsText" dxfId="4447" priority="597" operator="containsText" text="Fully Achieved">
      <formula>NOT(ISERROR(SEARCH("Fully Achieved",H88)))</formula>
    </cfRule>
  </conditionalFormatting>
  <conditionalFormatting sqref="H88:H123">
    <cfRule type="containsText" dxfId="4446" priority="584" operator="containsText" text="Deferred">
      <formula>NOT(ISERROR(SEARCH("Deferred",H88)))</formula>
    </cfRule>
    <cfRule type="containsText" dxfId="4445" priority="585" operator="containsText" text="Deleted">
      <formula>NOT(ISERROR(SEARCH("Deleted",H88)))</formula>
    </cfRule>
    <cfRule type="containsText" dxfId="4444" priority="586" operator="containsText" text="In Danger of Falling Behind Target">
      <formula>NOT(ISERROR(SEARCH("In Danger of Falling Behind Target",H88)))</formula>
    </cfRule>
    <cfRule type="containsText" dxfId="4443" priority="587" operator="containsText" text="Not yet due">
      <formula>NOT(ISERROR(SEARCH("Not yet due",H88)))</formula>
    </cfRule>
  </conditionalFormatting>
  <conditionalFormatting sqref="M88:M98 M100:M101 M103 M107:M108 M110:M123">
    <cfRule type="containsText" dxfId="4442" priority="520" operator="containsText" text="Fully Achieved">
      <formula>NOT(ISERROR(SEARCH("Fully Achieved",M88)))</formula>
    </cfRule>
    <cfRule type="containsText" dxfId="4441" priority="521" operator="containsText" text="Fully Achieved">
      <formula>NOT(ISERROR(SEARCH("Fully Achieved",M88)))</formula>
    </cfRule>
  </conditionalFormatting>
  <conditionalFormatting sqref="M88:M98 M100:M101 M103 M107:M108 M110:M123">
    <cfRule type="containsText" dxfId="4440" priority="513" operator="containsText" text="Update not Provided">
      <formula>NOT(ISERROR(SEARCH("Update not Provided",M88)))</formula>
    </cfRule>
    <cfRule type="containsText" dxfId="4439" priority="514" operator="containsText" text="Not yet due">
      <formula>NOT(ISERROR(SEARCH("Not yet due",M88)))</formula>
    </cfRule>
    <cfRule type="containsText" dxfId="4438" priority="515" operator="containsText" text="Completed Behind Schedule">
      <formula>NOT(ISERROR(SEARCH("Completed Behind Schedule",M88)))</formula>
    </cfRule>
    <cfRule type="containsText" dxfId="4437" priority="516" operator="containsText" text="Off Target">
      <formula>NOT(ISERROR(SEARCH("Off Target",M88)))</formula>
    </cfRule>
    <cfRule type="containsText" dxfId="4436" priority="517" operator="containsText" text="In Danger of Falling Behind Target">
      <formula>NOT(ISERROR(SEARCH("In Danger of Falling Behind Target",M88)))</formula>
    </cfRule>
    <cfRule type="containsText" dxfId="4435" priority="518" operator="containsText" text="On Track to be Achieved">
      <formula>NOT(ISERROR(SEARCH("On Track to be Achieved",M88)))</formula>
    </cfRule>
    <cfRule type="containsText" dxfId="4434" priority="519" operator="containsText" text="Fully Achieved">
      <formula>NOT(ISERROR(SEARCH("Fully Achieved",M88)))</formula>
    </cfRule>
  </conditionalFormatting>
  <conditionalFormatting sqref="M88:M98 M100:M101 M103 M107:M108 M110:M123">
    <cfRule type="containsText" dxfId="4433" priority="506" operator="containsText" text="Update not Provided">
      <formula>NOT(ISERROR(SEARCH("Update not Provided",M88)))</formula>
    </cfRule>
    <cfRule type="containsText" dxfId="4432" priority="508" operator="containsText" text="Completed Behind Schedule">
      <formula>NOT(ISERROR(SEARCH("Completed Behind Schedule",M88)))</formula>
    </cfRule>
    <cfRule type="containsText" dxfId="4431" priority="509" operator="containsText" text="Off Target">
      <formula>NOT(ISERROR(SEARCH("Off Target",M88)))</formula>
    </cfRule>
    <cfRule type="containsText" dxfId="4430" priority="510" operator="containsText" text="In Danger of Falling Behind Target">
      <formula>NOT(ISERROR(SEARCH("In Danger of Falling Behind Target",M88)))</formula>
    </cfRule>
    <cfRule type="containsText" dxfId="4429" priority="511" operator="containsText" text="On Track to be Achieved">
      <formula>NOT(ISERROR(SEARCH("On Track to be Achieved",M88)))</formula>
    </cfRule>
    <cfRule type="containsText" dxfId="4428" priority="512" operator="containsText" text="Fully Achieved">
      <formula>NOT(ISERROR(SEARCH("Fully Achieved",M88)))</formula>
    </cfRule>
  </conditionalFormatting>
  <conditionalFormatting sqref="M88:M98 M100:M101 M103 M107:M108 M110:M123">
    <cfRule type="containsText" dxfId="4427" priority="491" operator="containsText" text="Not Yet Due">
      <formula>NOT(ISERROR(SEARCH("Not Yet Due",M88)))</formula>
    </cfRule>
    <cfRule type="containsText" dxfId="4426" priority="496" operator="containsText" text="Deferred">
      <formula>NOT(ISERROR(SEARCH("Deferred",M88)))</formula>
    </cfRule>
    <cfRule type="containsText" dxfId="4425" priority="497" operator="containsText" text="Deleted">
      <formula>NOT(ISERROR(SEARCH("Deleted",M88)))</formula>
    </cfRule>
    <cfRule type="containsText" dxfId="4424" priority="502" operator="containsText" text="In Danger of Falling Behind Target">
      <formula>NOT(ISERROR(SEARCH("In Danger of Falling Behind Target",M88)))</formula>
    </cfRule>
    <cfRule type="containsText" dxfId="4423" priority="507" operator="containsText" text="Not yet due">
      <formula>NOT(ISERROR(SEARCH("Not yet due",M88)))</formula>
    </cfRule>
  </conditionalFormatting>
  <conditionalFormatting sqref="M88:M98 M100:M101 M103 M107:M108 M110:M123">
    <cfRule type="containsText" dxfId="4422" priority="505" operator="containsText" text="Not yet due">
      <formula>NOT(ISERROR(SEARCH("Not yet due",M88)))</formula>
    </cfRule>
  </conditionalFormatting>
  <conditionalFormatting sqref="M88:M98 M100:M101 M103 M107:M108 M110:M123">
    <cfRule type="containsText" dxfId="4421" priority="498" operator="containsText" text="Update not Provided">
      <formula>NOT(ISERROR(SEARCH("Update not Provided",M88)))</formula>
    </cfRule>
    <cfRule type="containsText" dxfId="4420" priority="499" operator="containsText" text="Not yet due">
      <formula>NOT(ISERROR(SEARCH("Not yet due",M88)))</formula>
    </cfRule>
    <cfRule type="containsText" dxfId="4419" priority="500" operator="containsText" text="Completed Behind Schedule">
      <formula>NOT(ISERROR(SEARCH("Completed Behind Schedule",M88)))</formula>
    </cfRule>
    <cfRule type="containsText" dxfId="4418" priority="501" operator="containsText" text="Off Target">
      <formula>NOT(ISERROR(SEARCH("Off Target",M88)))</formula>
    </cfRule>
    <cfRule type="containsText" dxfId="4417" priority="503" operator="containsText" text="On Track to be Achieved">
      <formula>NOT(ISERROR(SEARCH("On Track to be Achieved",M88)))</formula>
    </cfRule>
    <cfRule type="containsText" dxfId="4416" priority="504" operator="containsText" text="Fully Achieved">
      <formula>NOT(ISERROR(SEARCH("Fully Achieved",M88)))</formula>
    </cfRule>
  </conditionalFormatting>
  <conditionalFormatting sqref="M88:M98 M100:M101 M103 M107:M108 M110:M123">
    <cfRule type="containsText" dxfId="4415" priority="492" operator="containsText" text="Deferred">
      <formula>NOT(ISERROR(SEARCH("Deferred",M88)))</formula>
    </cfRule>
    <cfRule type="containsText" dxfId="4414" priority="493" operator="containsText" text="Deleted">
      <formula>NOT(ISERROR(SEARCH("Deleted",M88)))</formula>
    </cfRule>
    <cfRule type="containsText" dxfId="4413" priority="494" operator="containsText" text="In Danger of Falling Behind Target">
      <formula>NOT(ISERROR(SEARCH("In Danger of Falling Behind Target",M88)))</formula>
    </cfRule>
    <cfRule type="containsText" dxfId="4412" priority="495" operator="containsText" text="Not yet due">
      <formula>NOT(ISERROR(SEARCH("Not yet due",M88)))</formula>
    </cfRule>
  </conditionalFormatting>
  <conditionalFormatting sqref="M66:M69 M71:M72 M74:M86">
    <cfRule type="containsText" dxfId="4411" priority="402" operator="containsText" text="Fully Achieved">
      <formula>NOT(ISERROR(SEARCH("Fully Achieved",M66)))</formula>
    </cfRule>
    <cfRule type="containsText" dxfId="4410" priority="403" operator="containsText" text="Fully Achieved">
      <formula>NOT(ISERROR(SEARCH("Fully Achieved",M66)))</formula>
    </cfRule>
  </conditionalFormatting>
  <conditionalFormatting sqref="M66:M69 M71:M72 M74:M86">
    <cfRule type="containsText" dxfId="4409" priority="395" operator="containsText" text="Update not Provided">
      <formula>NOT(ISERROR(SEARCH("Update not Provided",M66)))</formula>
    </cfRule>
    <cfRule type="containsText" dxfId="4408" priority="396" operator="containsText" text="Not yet due">
      <formula>NOT(ISERROR(SEARCH("Not yet due",M66)))</formula>
    </cfRule>
    <cfRule type="containsText" dxfId="4407" priority="397" operator="containsText" text="Completed Behind Schedule">
      <formula>NOT(ISERROR(SEARCH("Completed Behind Schedule",M66)))</formula>
    </cfRule>
    <cfRule type="containsText" dxfId="4406" priority="398" operator="containsText" text="Off Target">
      <formula>NOT(ISERROR(SEARCH("Off Target",M66)))</formula>
    </cfRule>
    <cfRule type="containsText" dxfId="4405" priority="399" operator="containsText" text="In Danger of Falling Behind Target">
      <formula>NOT(ISERROR(SEARCH("In Danger of Falling Behind Target",M66)))</formula>
    </cfRule>
    <cfRule type="containsText" dxfId="4404" priority="400" operator="containsText" text="On Track to be Achieved">
      <formula>NOT(ISERROR(SEARCH("On Track to be Achieved",M66)))</formula>
    </cfRule>
    <cfRule type="containsText" dxfId="4403" priority="401" operator="containsText" text="Fully Achieved">
      <formula>NOT(ISERROR(SEARCH("Fully Achieved",M66)))</formula>
    </cfRule>
  </conditionalFormatting>
  <conditionalFormatting sqref="M66:M69 M71:M72 M74:M86">
    <cfRule type="containsText" dxfId="4402" priority="388" operator="containsText" text="Update not Provided">
      <formula>NOT(ISERROR(SEARCH("Update not Provided",M66)))</formula>
    </cfRule>
    <cfRule type="containsText" dxfId="4401" priority="390" operator="containsText" text="Completed Behind Schedule">
      <formula>NOT(ISERROR(SEARCH("Completed Behind Schedule",M66)))</formula>
    </cfRule>
    <cfRule type="containsText" dxfId="4400" priority="391" operator="containsText" text="Off Target">
      <formula>NOT(ISERROR(SEARCH("Off Target",M66)))</formula>
    </cfRule>
    <cfRule type="containsText" dxfId="4399" priority="392" operator="containsText" text="In Danger of Falling Behind Target">
      <formula>NOT(ISERROR(SEARCH("In Danger of Falling Behind Target",M66)))</formula>
    </cfRule>
    <cfRule type="containsText" dxfId="4398" priority="393" operator="containsText" text="On Track to be Achieved">
      <formula>NOT(ISERROR(SEARCH("On Track to be Achieved",M66)))</formula>
    </cfRule>
    <cfRule type="containsText" dxfId="4397" priority="394" operator="containsText" text="Fully Achieved">
      <formula>NOT(ISERROR(SEARCH("Fully Achieved",M66)))</formula>
    </cfRule>
  </conditionalFormatting>
  <conditionalFormatting sqref="M66:M69 M71:M72 M74:M86">
    <cfRule type="containsText" dxfId="4396" priority="373" operator="containsText" text="Not Yet Due">
      <formula>NOT(ISERROR(SEARCH("Not Yet Due",M66)))</formula>
    </cfRule>
    <cfRule type="containsText" dxfId="4395" priority="378" operator="containsText" text="Deferred">
      <formula>NOT(ISERROR(SEARCH("Deferred",M66)))</formula>
    </cfRule>
    <cfRule type="containsText" dxfId="4394" priority="379" operator="containsText" text="Deleted">
      <formula>NOT(ISERROR(SEARCH("Deleted",M66)))</formula>
    </cfRule>
    <cfRule type="containsText" dxfId="4393" priority="384" operator="containsText" text="In Danger of Falling Behind Target">
      <formula>NOT(ISERROR(SEARCH("In Danger of Falling Behind Target",M66)))</formula>
    </cfRule>
    <cfRule type="containsText" dxfId="4392" priority="389" operator="containsText" text="Not yet due">
      <formula>NOT(ISERROR(SEARCH("Not yet due",M66)))</formula>
    </cfRule>
  </conditionalFormatting>
  <conditionalFormatting sqref="M66:M69 M71:M72 M74:M86">
    <cfRule type="containsText" dxfId="4391" priority="387" operator="containsText" text="Not yet due">
      <formula>NOT(ISERROR(SEARCH("Not yet due",M66)))</formula>
    </cfRule>
  </conditionalFormatting>
  <conditionalFormatting sqref="M66:M69 M71:M72 M74:M86">
    <cfRule type="containsText" dxfId="4390" priority="380" operator="containsText" text="Update not Provided">
      <formula>NOT(ISERROR(SEARCH("Update not Provided",M66)))</formula>
    </cfRule>
    <cfRule type="containsText" dxfId="4389" priority="381" operator="containsText" text="Not yet due">
      <formula>NOT(ISERROR(SEARCH("Not yet due",M66)))</formula>
    </cfRule>
    <cfRule type="containsText" dxfId="4388" priority="382" operator="containsText" text="Completed Behind Schedule">
      <formula>NOT(ISERROR(SEARCH("Completed Behind Schedule",M66)))</formula>
    </cfRule>
    <cfRule type="containsText" dxfId="4387" priority="383" operator="containsText" text="Off Target">
      <formula>NOT(ISERROR(SEARCH("Off Target",M66)))</formula>
    </cfRule>
    <cfRule type="containsText" dxfId="4386" priority="385" operator="containsText" text="On Track to be Achieved">
      <formula>NOT(ISERROR(SEARCH("On Track to be Achieved",M66)))</formula>
    </cfRule>
    <cfRule type="containsText" dxfId="4385" priority="386" operator="containsText" text="Fully Achieved">
      <formula>NOT(ISERROR(SEARCH("Fully Achieved",M66)))</formula>
    </cfRule>
  </conditionalFormatting>
  <conditionalFormatting sqref="M66:M69 M71:M72 M74:M86">
    <cfRule type="containsText" dxfId="4384" priority="374" operator="containsText" text="Deferred">
      <formula>NOT(ISERROR(SEARCH("Deferred",M66)))</formula>
    </cfRule>
    <cfRule type="containsText" dxfId="4383" priority="375" operator="containsText" text="Deleted">
      <formula>NOT(ISERROR(SEARCH("Deleted",M66)))</formula>
    </cfRule>
    <cfRule type="containsText" dxfId="4382" priority="376" operator="containsText" text="In Danger of Falling Behind Target">
      <formula>NOT(ISERROR(SEARCH("In Danger of Falling Behind Target",M66)))</formula>
    </cfRule>
    <cfRule type="containsText" dxfId="4381" priority="377" operator="containsText" text="Not yet due">
      <formula>NOT(ISERROR(SEARCH("Not yet due",M66)))</formula>
    </cfRule>
  </conditionalFormatting>
  <conditionalFormatting sqref="M5:M65 M70 M73 M99 M102 M104:M106 M109">
    <cfRule type="containsText" dxfId="4380" priority="371" operator="containsText" text="Fully Achieved">
      <formula>NOT(ISERROR(SEARCH("Fully Achieved",M5)))</formula>
    </cfRule>
    <cfRule type="containsText" dxfId="4379" priority="372" operator="containsText" text="Fully Achieved">
      <formula>NOT(ISERROR(SEARCH("Fully Achieved",M5)))</formula>
    </cfRule>
  </conditionalFormatting>
  <conditionalFormatting sqref="M5:M65 M70 M73 M99 M102 M104:M106 M109">
    <cfRule type="containsText" dxfId="4378" priority="364" operator="containsText" text="Update not Provided">
      <formula>NOT(ISERROR(SEARCH("Update not Provided",M5)))</formula>
    </cfRule>
    <cfRule type="containsText" dxfId="4377" priority="365" operator="containsText" text="Not yet due">
      <formula>NOT(ISERROR(SEARCH("Not yet due",M5)))</formula>
    </cfRule>
    <cfRule type="containsText" dxfId="4376" priority="366" operator="containsText" text="Completed Behind Schedule">
      <formula>NOT(ISERROR(SEARCH("Completed Behind Schedule",M5)))</formula>
    </cfRule>
    <cfRule type="containsText" dxfId="4375" priority="367" operator="containsText" text="Off Target">
      <formula>NOT(ISERROR(SEARCH("Off Target",M5)))</formula>
    </cfRule>
    <cfRule type="containsText" dxfId="4374" priority="368" operator="containsText" text="In Danger of Falling Behind Target">
      <formula>NOT(ISERROR(SEARCH("In Danger of Falling Behind Target",M5)))</formula>
    </cfRule>
    <cfRule type="containsText" dxfId="4373" priority="369" operator="containsText" text="On Track to be Achieved">
      <formula>NOT(ISERROR(SEARCH("On Track to be Achieved",M5)))</formula>
    </cfRule>
    <cfRule type="containsText" dxfId="4372" priority="370" operator="containsText" text="Fully Achieved">
      <formula>NOT(ISERROR(SEARCH("Fully Achieved",M5)))</formula>
    </cfRule>
  </conditionalFormatting>
  <conditionalFormatting sqref="M5:M65 M70 M73 M99 M102 M104:M106 M109">
    <cfRule type="containsText" dxfId="4371" priority="357" operator="containsText" text="Update not Provided">
      <formula>NOT(ISERROR(SEARCH("Update not Provided",M5)))</formula>
    </cfRule>
    <cfRule type="containsText" dxfId="4370" priority="359" operator="containsText" text="Completed Behind Schedule">
      <formula>NOT(ISERROR(SEARCH("Completed Behind Schedule",M5)))</formula>
    </cfRule>
    <cfRule type="containsText" dxfId="4369" priority="360" operator="containsText" text="Off Target">
      <formula>NOT(ISERROR(SEARCH("Off Target",M5)))</formula>
    </cfRule>
    <cfRule type="containsText" dxfId="4368" priority="361" operator="containsText" text="In Danger of Falling Behind Target">
      <formula>NOT(ISERROR(SEARCH("In Danger of Falling Behind Target",M5)))</formula>
    </cfRule>
    <cfRule type="containsText" dxfId="4367" priority="362" operator="containsText" text="On Track to be Achieved">
      <formula>NOT(ISERROR(SEARCH("On Track to be Achieved",M5)))</formula>
    </cfRule>
    <cfRule type="containsText" dxfId="4366" priority="363" operator="containsText" text="Fully Achieved">
      <formula>NOT(ISERROR(SEARCH("Fully Achieved",M5)))</formula>
    </cfRule>
  </conditionalFormatting>
  <conditionalFormatting sqref="M5:M65 M70 M73 M99 M102 M104:M106 M109">
    <cfRule type="containsText" dxfId="4365" priority="342" operator="containsText" text="Not Yet Due">
      <formula>NOT(ISERROR(SEARCH("Not Yet Due",M5)))</formula>
    </cfRule>
    <cfRule type="containsText" dxfId="4364" priority="347" operator="containsText" text="Deferred">
      <formula>NOT(ISERROR(SEARCH("Deferred",M5)))</formula>
    </cfRule>
    <cfRule type="containsText" dxfId="4363" priority="348" operator="containsText" text="Deleted">
      <formula>NOT(ISERROR(SEARCH("Deleted",M5)))</formula>
    </cfRule>
    <cfRule type="containsText" dxfId="4362" priority="353" operator="containsText" text="In Danger of Falling Behind Target">
      <formula>NOT(ISERROR(SEARCH("In Danger of Falling Behind Target",M5)))</formula>
    </cfRule>
    <cfRule type="containsText" dxfId="4361" priority="358" operator="containsText" text="Not yet due">
      <formula>NOT(ISERROR(SEARCH("Not yet due",M5)))</formula>
    </cfRule>
  </conditionalFormatting>
  <conditionalFormatting sqref="M5:M65 M70 M73 M99 M102 M104:M106 M109">
    <cfRule type="containsText" dxfId="4360" priority="356" operator="containsText" text="Not yet due">
      <formula>NOT(ISERROR(SEARCH("Not yet due",M5)))</formula>
    </cfRule>
  </conditionalFormatting>
  <conditionalFormatting sqref="M5:M65 M70 M73 M99 M102 M104:M106 M109">
    <cfRule type="containsText" dxfId="4359" priority="349" operator="containsText" text="Update not Provided">
      <formula>NOT(ISERROR(SEARCH("Update not Provided",M5)))</formula>
    </cfRule>
    <cfRule type="containsText" dxfId="4358" priority="350" operator="containsText" text="Not yet due">
      <formula>NOT(ISERROR(SEARCH("Not yet due",M5)))</formula>
    </cfRule>
    <cfRule type="containsText" dxfId="4357" priority="351" operator="containsText" text="Completed Behind Schedule">
      <formula>NOT(ISERROR(SEARCH("Completed Behind Schedule",M5)))</formula>
    </cfRule>
    <cfRule type="containsText" dxfId="4356" priority="352" operator="containsText" text="Off Target">
      <formula>NOT(ISERROR(SEARCH("Off Target",M5)))</formula>
    </cfRule>
    <cfRule type="containsText" dxfId="4355" priority="354" operator="containsText" text="On Track to be Achieved">
      <formula>NOT(ISERROR(SEARCH("On Track to be Achieved",M5)))</formula>
    </cfRule>
    <cfRule type="containsText" dxfId="4354" priority="355" operator="containsText" text="Fully Achieved">
      <formula>NOT(ISERROR(SEARCH("Fully Achieved",M5)))</formula>
    </cfRule>
  </conditionalFormatting>
  <conditionalFormatting sqref="M5:M65 M70 M73 M99 M102 M104:M106 M109">
    <cfRule type="containsText" dxfId="4353" priority="343" operator="containsText" text="Deferred">
      <formula>NOT(ISERROR(SEARCH("Deferred",M5)))</formula>
    </cfRule>
    <cfRule type="containsText" dxfId="4352" priority="344" operator="containsText" text="Deleted">
      <formula>NOT(ISERROR(SEARCH("Deleted",M5)))</formula>
    </cfRule>
    <cfRule type="containsText" dxfId="4351" priority="345" operator="containsText" text="In Danger of Falling Behind Target">
      <formula>NOT(ISERROR(SEARCH("In Danger of Falling Behind Target",M5)))</formula>
    </cfRule>
    <cfRule type="containsText" dxfId="4350" priority="346" operator="containsText" text="Not yet due">
      <formula>NOT(ISERROR(SEARCH("Not yet due",M5)))</formula>
    </cfRule>
  </conditionalFormatting>
  <conditionalFormatting sqref="R5:R64">
    <cfRule type="containsText" dxfId="4349" priority="340" operator="containsText" text="Fully Achieved">
      <formula>NOT(ISERROR(SEARCH("Fully Achieved",R5)))</formula>
    </cfRule>
    <cfRule type="containsText" dxfId="4348" priority="341" operator="containsText" text="Fully Achieved">
      <formula>NOT(ISERROR(SEARCH("Fully Achieved",R5)))</formula>
    </cfRule>
  </conditionalFormatting>
  <conditionalFormatting sqref="R5:R64">
    <cfRule type="containsText" dxfId="4347" priority="333" operator="containsText" text="Update not Provided">
      <formula>NOT(ISERROR(SEARCH("Update not Provided",R5)))</formula>
    </cfRule>
    <cfRule type="containsText" dxfId="4346" priority="334" operator="containsText" text="Not yet due">
      <formula>NOT(ISERROR(SEARCH("Not yet due",R5)))</formula>
    </cfRule>
    <cfRule type="containsText" dxfId="4345" priority="335" operator="containsText" text="Completed Behind Schedule">
      <formula>NOT(ISERROR(SEARCH("Completed Behind Schedule",R5)))</formula>
    </cfRule>
    <cfRule type="containsText" dxfId="4344" priority="336" operator="containsText" text="Off Target">
      <formula>NOT(ISERROR(SEARCH("Off Target",R5)))</formula>
    </cfRule>
    <cfRule type="containsText" dxfId="4343" priority="337" operator="containsText" text="In Danger of Falling Behind Target">
      <formula>NOT(ISERROR(SEARCH("In Danger of Falling Behind Target",R5)))</formula>
    </cfRule>
    <cfRule type="containsText" dxfId="4342" priority="338" operator="containsText" text="On Track to be Achieved">
      <formula>NOT(ISERROR(SEARCH("On Track to be Achieved",R5)))</formula>
    </cfRule>
    <cfRule type="containsText" dxfId="4341" priority="339" operator="containsText" text="Fully Achieved">
      <formula>NOT(ISERROR(SEARCH("Fully Achieved",R5)))</formula>
    </cfRule>
  </conditionalFormatting>
  <conditionalFormatting sqref="R5:R64">
    <cfRule type="containsText" dxfId="4340" priority="326" operator="containsText" text="Update not Provided">
      <formula>NOT(ISERROR(SEARCH("Update not Provided",R5)))</formula>
    </cfRule>
    <cfRule type="containsText" dxfId="4339" priority="328" operator="containsText" text="Completed Behind Schedule">
      <formula>NOT(ISERROR(SEARCH("Completed Behind Schedule",R5)))</formula>
    </cfRule>
    <cfRule type="containsText" dxfId="4338" priority="329" operator="containsText" text="Off Target">
      <formula>NOT(ISERROR(SEARCH("Off Target",R5)))</formula>
    </cfRule>
    <cfRule type="containsText" dxfId="4337" priority="330" operator="containsText" text="In Danger of Falling Behind Target">
      <formula>NOT(ISERROR(SEARCH("In Danger of Falling Behind Target",R5)))</formula>
    </cfRule>
    <cfRule type="containsText" dxfId="4336" priority="331" operator="containsText" text="On Track to be Achieved">
      <formula>NOT(ISERROR(SEARCH("On Track to be Achieved",R5)))</formula>
    </cfRule>
    <cfRule type="containsText" dxfId="4335" priority="332" operator="containsText" text="Fully Achieved">
      <formula>NOT(ISERROR(SEARCH("Fully Achieved",R5)))</formula>
    </cfRule>
  </conditionalFormatting>
  <conditionalFormatting sqref="R5:R64">
    <cfRule type="containsText" dxfId="4334" priority="311" operator="containsText" text="Not Yet Due">
      <formula>NOT(ISERROR(SEARCH("Not Yet Due",R5)))</formula>
    </cfRule>
    <cfRule type="containsText" dxfId="4333" priority="316" operator="containsText" text="Deferred">
      <formula>NOT(ISERROR(SEARCH("Deferred",R5)))</formula>
    </cfRule>
    <cfRule type="containsText" dxfId="4332" priority="317" operator="containsText" text="Deleted">
      <formula>NOT(ISERROR(SEARCH("Deleted",R5)))</formula>
    </cfRule>
    <cfRule type="containsText" dxfId="4331" priority="322" operator="containsText" text="In Danger of Falling Behind Target">
      <formula>NOT(ISERROR(SEARCH("In Danger of Falling Behind Target",R5)))</formula>
    </cfRule>
    <cfRule type="containsText" dxfId="4330" priority="327" operator="containsText" text="Not yet due">
      <formula>NOT(ISERROR(SEARCH("Not yet due",R5)))</formula>
    </cfRule>
  </conditionalFormatting>
  <conditionalFormatting sqref="R5:R64">
    <cfRule type="containsText" dxfId="4329" priority="325" operator="containsText" text="Not yet due">
      <formula>NOT(ISERROR(SEARCH("Not yet due",R5)))</formula>
    </cfRule>
  </conditionalFormatting>
  <conditionalFormatting sqref="R5:R64">
    <cfRule type="containsText" dxfId="4328" priority="318" operator="containsText" text="Update not Provided">
      <formula>NOT(ISERROR(SEARCH("Update not Provided",R5)))</formula>
    </cfRule>
    <cfRule type="containsText" dxfId="4327" priority="319" operator="containsText" text="Not yet due">
      <formula>NOT(ISERROR(SEARCH("Not yet due",R5)))</formula>
    </cfRule>
    <cfRule type="containsText" dxfId="4326" priority="320" operator="containsText" text="Completed Behind Schedule">
      <formula>NOT(ISERROR(SEARCH("Completed Behind Schedule",R5)))</formula>
    </cfRule>
    <cfRule type="containsText" dxfId="4325" priority="321" operator="containsText" text="Off Target">
      <formula>NOT(ISERROR(SEARCH("Off Target",R5)))</formula>
    </cfRule>
    <cfRule type="containsText" dxfId="4324" priority="323" operator="containsText" text="On Track to be Achieved">
      <formula>NOT(ISERROR(SEARCH("On Track to be Achieved",R5)))</formula>
    </cfRule>
    <cfRule type="containsText" dxfId="4323" priority="324" operator="containsText" text="Fully Achieved">
      <formula>NOT(ISERROR(SEARCH("Fully Achieved",R5)))</formula>
    </cfRule>
  </conditionalFormatting>
  <conditionalFormatting sqref="R5:R64">
    <cfRule type="containsText" dxfId="4322" priority="312" operator="containsText" text="Deferred">
      <formula>NOT(ISERROR(SEARCH("Deferred",R5)))</formula>
    </cfRule>
    <cfRule type="containsText" dxfId="4321" priority="313" operator="containsText" text="Deleted">
      <formula>NOT(ISERROR(SEARCH("Deleted",R5)))</formula>
    </cfRule>
    <cfRule type="containsText" dxfId="4320" priority="314" operator="containsText" text="In Danger of Falling Behind Target">
      <formula>NOT(ISERROR(SEARCH("In Danger of Falling Behind Target",R5)))</formula>
    </cfRule>
    <cfRule type="containsText" dxfId="4319" priority="315" operator="containsText" text="Not yet due">
      <formula>NOT(ISERROR(SEARCH("Not yet due",R5)))</formula>
    </cfRule>
  </conditionalFormatting>
  <conditionalFormatting sqref="R91 R94 R96:R97 R109:R111 R119:R120 R122 R65:R87">
    <cfRule type="containsText" dxfId="4318" priority="309" operator="containsText" text="Fully Achieved">
      <formula>NOT(ISERROR(SEARCH("Fully Achieved",R65)))</formula>
    </cfRule>
    <cfRule type="containsText" dxfId="4317" priority="310" operator="containsText" text="Fully Achieved">
      <formula>NOT(ISERROR(SEARCH("Fully Achieved",R65)))</formula>
    </cfRule>
  </conditionalFormatting>
  <conditionalFormatting sqref="R91 R94 R96:R97 R109:R111 R119:R120 R122 R65:R87">
    <cfRule type="containsText" dxfId="4316" priority="302" operator="containsText" text="Update not Provided">
      <formula>NOT(ISERROR(SEARCH("Update not Provided",R65)))</formula>
    </cfRule>
    <cfRule type="containsText" dxfId="4315" priority="303" operator="containsText" text="Not yet due">
      <formula>NOT(ISERROR(SEARCH("Not yet due",R65)))</formula>
    </cfRule>
    <cfRule type="containsText" dxfId="4314" priority="304" operator="containsText" text="Completed Behind Schedule">
      <formula>NOT(ISERROR(SEARCH("Completed Behind Schedule",R65)))</formula>
    </cfRule>
    <cfRule type="containsText" dxfId="4313" priority="305" operator="containsText" text="Off Target">
      <formula>NOT(ISERROR(SEARCH("Off Target",R65)))</formula>
    </cfRule>
    <cfRule type="containsText" dxfId="4312" priority="306" operator="containsText" text="In Danger of Falling Behind Target">
      <formula>NOT(ISERROR(SEARCH("In Danger of Falling Behind Target",R65)))</formula>
    </cfRule>
    <cfRule type="containsText" dxfId="4311" priority="307" operator="containsText" text="On Track to be Achieved">
      <formula>NOT(ISERROR(SEARCH("On Track to be Achieved",R65)))</formula>
    </cfRule>
    <cfRule type="containsText" dxfId="4310" priority="308" operator="containsText" text="Fully Achieved">
      <formula>NOT(ISERROR(SEARCH("Fully Achieved",R65)))</formula>
    </cfRule>
  </conditionalFormatting>
  <conditionalFormatting sqref="R91 R94 R96:R97 R109:R111 R119:R120 R122 R65:R87">
    <cfRule type="containsText" dxfId="4309" priority="295" operator="containsText" text="Update not Provided">
      <formula>NOT(ISERROR(SEARCH("Update not Provided",R65)))</formula>
    </cfRule>
    <cfRule type="containsText" dxfId="4308" priority="297" operator="containsText" text="Completed Behind Schedule">
      <formula>NOT(ISERROR(SEARCH("Completed Behind Schedule",R65)))</formula>
    </cfRule>
    <cfRule type="containsText" dxfId="4307" priority="298" operator="containsText" text="Off Target">
      <formula>NOT(ISERROR(SEARCH("Off Target",R65)))</formula>
    </cfRule>
    <cfRule type="containsText" dxfId="4306" priority="299" operator="containsText" text="In Danger of Falling Behind Target">
      <formula>NOT(ISERROR(SEARCH("In Danger of Falling Behind Target",R65)))</formula>
    </cfRule>
    <cfRule type="containsText" dxfId="4305" priority="300" operator="containsText" text="On Track to be Achieved">
      <formula>NOT(ISERROR(SEARCH("On Track to be Achieved",R65)))</formula>
    </cfRule>
    <cfRule type="containsText" dxfId="4304" priority="301" operator="containsText" text="Fully Achieved">
      <formula>NOT(ISERROR(SEARCH("Fully Achieved",R65)))</formula>
    </cfRule>
  </conditionalFormatting>
  <conditionalFormatting sqref="R91 R94 R96:R97 R109:R111 R119:R120 R122 R65:R87">
    <cfRule type="containsText" dxfId="4303" priority="280" operator="containsText" text="Not Yet Due">
      <formula>NOT(ISERROR(SEARCH("Not Yet Due",R65)))</formula>
    </cfRule>
    <cfRule type="containsText" dxfId="4302" priority="285" operator="containsText" text="Deferred">
      <formula>NOT(ISERROR(SEARCH("Deferred",R65)))</formula>
    </cfRule>
    <cfRule type="containsText" dxfId="4301" priority="286" operator="containsText" text="Deleted">
      <formula>NOT(ISERROR(SEARCH("Deleted",R65)))</formula>
    </cfRule>
    <cfRule type="containsText" dxfId="4300" priority="291" operator="containsText" text="In Danger of Falling Behind Target">
      <formula>NOT(ISERROR(SEARCH("In Danger of Falling Behind Target",R65)))</formula>
    </cfRule>
    <cfRule type="containsText" dxfId="4299" priority="296" operator="containsText" text="Not yet due">
      <formula>NOT(ISERROR(SEARCH("Not yet due",R65)))</formula>
    </cfRule>
  </conditionalFormatting>
  <conditionalFormatting sqref="R91 R94 R96:R97 R109:R111 R119:R120 R122 R65:R87">
    <cfRule type="containsText" dxfId="4298" priority="294" operator="containsText" text="Not yet due">
      <formula>NOT(ISERROR(SEARCH("Not yet due",R65)))</formula>
    </cfRule>
  </conditionalFormatting>
  <conditionalFormatting sqref="R91 R94 R96:R97 R109:R111 R119:R120 R122 R65:R87">
    <cfRule type="containsText" dxfId="4297" priority="287" operator="containsText" text="Update not Provided">
      <formula>NOT(ISERROR(SEARCH("Update not Provided",R65)))</formula>
    </cfRule>
    <cfRule type="containsText" dxfId="4296" priority="288" operator="containsText" text="Not yet due">
      <formula>NOT(ISERROR(SEARCH("Not yet due",R65)))</formula>
    </cfRule>
    <cfRule type="containsText" dxfId="4295" priority="289" operator="containsText" text="Completed Behind Schedule">
      <formula>NOT(ISERROR(SEARCH("Completed Behind Schedule",R65)))</formula>
    </cfRule>
    <cfRule type="containsText" dxfId="4294" priority="290" operator="containsText" text="Off Target">
      <formula>NOT(ISERROR(SEARCH("Off Target",R65)))</formula>
    </cfRule>
    <cfRule type="containsText" dxfId="4293" priority="292" operator="containsText" text="On Track to be Achieved">
      <formula>NOT(ISERROR(SEARCH("On Track to be Achieved",R65)))</formula>
    </cfRule>
    <cfRule type="containsText" dxfId="4292" priority="293" operator="containsText" text="Fully Achieved">
      <formula>NOT(ISERROR(SEARCH("Fully Achieved",R65)))</formula>
    </cfRule>
  </conditionalFormatting>
  <conditionalFormatting sqref="R91 R94 R96:R97 R109:R111 R119:R120 R122 R65:R87">
    <cfRule type="containsText" dxfId="4291" priority="281" operator="containsText" text="Deferred">
      <formula>NOT(ISERROR(SEARCH("Deferred",R65)))</formula>
    </cfRule>
    <cfRule type="containsText" dxfId="4290" priority="282" operator="containsText" text="Deleted">
      <formula>NOT(ISERROR(SEARCH("Deleted",R65)))</formula>
    </cfRule>
    <cfRule type="containsText" dxfId="4289" priority="283" operator="containsText" text="In Danger of Falling Behind Target">
      <formula>NOT(ISERROR(SEARCH("In Danger of Falling Behind Target",R65)))</formula>
    </cfRule>
    <cfRule type="containsText" dxfId="4288" priority="284" operator="containsText" text="Not yet due">
      <formula>NOT(ISERROR(SEARCH("Not yet due",R65)))</formula>
    </cfRule>
  </conditionalFormatting>
  <conditionalFormatting sqref="R88:R90 R92:R93 R95 R98:R108 R112:R118 R121 R123">
    <cfRule type="containsText" dxfId="4287" priority="278" operator="containsText" text="Fully Achieved">
      <formula>NOT(ISERROR(SEARCH("Fully Achieved",R88)))</formula>
    </cfRule>
    <cfRule type="containsText" dxfId="4286" priority="279" operator="containsText" text="Fully Achieved">
      <formula>NOT(ISERROR(SEARCH("Fully Achieved",R88)))</formula>
    </cfRule>
  </conditionalFormatting>
  <conditionalFormatting sqref="R88:R90 R92:R93 R95 R98:R108 R112:R118 R121 R123">
    <cfRule type="containsText" dxfId="4285" priority="271" operator="containsText" text="Update not Provided">
      <formula>NOT(ISERROR(SEARCH("Update not Provided",R88)))</formula>
    </cfRule>
    <cfRule type="containsText" dxfId="4284" priority="272" operator="containsText" text="Not yet due">
      <formula>NOT(ISERROR(SEARCH("Not yet due",R88)))</formula>
    </cfRule>
    <cfRule type="containsText" dxfId="4283" priority="273" operator="containsText" text="Completed Behind Schedule">
      <formula>NOT(ISERROR(SEARCH("Completed Behind Schedule",R88)))</formula>
    </cfRule>
    <cfRule type="containsText" dxfId="4282" priority="274" operator="containsText" text="Off Target">
      <formula>NOT(ISERROR(SEARCH("Off Target",R88)))</formula>
    </cfRule>
    <cfRule type="containsText" dxfId="4281" priority="275" operator="containsText" text="In Danger of Falling Behind Target">
      <formula>NOT(ISERROR(SEARCH("In Danger of Falling Behind Target",R88)))</formula>
    </cfRule>
    <cfRule type="containsText" dxfId="4280" priority="276" operator="containsText" text="On Track to be Achieved">
      <formula>NOT(ISERROR(SEARCH("On Track to be Achieved",R88)))</formula>
    </cfRule>
    <cfRule type="containsText" dxfId="4279" priority="277" operator="containsText" text="Fully Achieved">
      <formula>NOT(ISERROR(SEARCH("Fully Achieved",R88)))</formula>
    </cfRule>
  </conditionalFormatting>
  <conditionalFormatting sqref="R88:R90 R92:R93 R95 R98:R108 R112:R118 R121 R123">
    <cfRule type="containsText" dxfId="4278" priority="264" operator="containsText" text="Update not Provided">
      <formula>NOT(ISERROR(SEARCH("Update not Provided",R88)))</formula>
    </cfRule>
    <cfRule type="containsText" dxfId="4277" priority="266" operator="containsText" text="Completed Behind Schedule">
      <formula>NOT(ISERROR(SEARCH("Completed Behind Schedule",R88)))</formula>
    </cfRule>
    <cfRule type="containsText" dxfId="4276" priority="267" operator="containsText" text="Off Target">
      <formula>NOT(ISERROR(SEARCH("Off Target",R88)))</formula>
    </cfRule>
    <cfRule type="containsText" dxfId="4275" priority="268" operator="containsText" text="In Danger of Falling Behind Target">
      <formula>NOT(ISERROR(SEARCH("In Danger of Falling Behind Target",R88)))</formula>
    </cfRule>
    <cfRule type="containsText" dxfId="4274" priority="269" operator="containsText" text="On Track to be Achieved">
      <formula>NOT(ISERROR(SEARCH("On Track to be Achieved",R88)))</formula>
    </cfRule>
    <cfRule type="containsText" dxfId="4273" priority="270" operator="containsText" text="Fully Achieved">
      <formula>NOT(ISERROR(SEARCH("Fully Achieved",R88)))</formula>
    </cfRule>
  </conditionalFormatting>
  <conditionalFormatting sqref="R88:R90 R92:R93 R95 R98:R108 R112:R118 R121 R123">
    <cfRule type="containsText" dxfId="4272" priority="249" operator="containsText" text="Not Yet Due">
      <formula>NOT(ISERROR(SEARCH("Not Yet Due",R88)))</formula>
    </cfRule>
    <cfRule type="containsText" dxfId="4271" priority="254" operator="containsText" text="Deferred">
      <formula>NOT(ISERROR(SEARCH("Deferred",R88)))</formula>
    </cfRule>
    <cfRule type="containsText" dxfId="4270" priority="255" operator="containsText" text="Deleted">
      <formula>NOT(ISERROR(SEARCH("Deleted",R88)))</formula>
    </cfRule>
    <cfRule type="containsText" dxfId="4269" priority="260" operator="containsText" text="In Danger of Falling Behind Target">
      <formula>NOT(ISERROR(SEARCH("In Danger of Falling Behind Target",R88)))</formula>
    </cfRule>
    <cfRule type="containsText" dxfId="4268" priority="265" operator="containsText" text="Not yet due">
      <formula>NOT(ISERROR(SEARCH("Not yet due",R88)))</formula>
    </cfRule>
  </conditionalFormatting>
  <conditionalFormatting sqref="R88:R90 R92:R93 R95 R98:R108 R112:R118 R121 R123">
    <cfRule type="containsText" dxfId="4267" priority="263" operator="containsText" text="Not yet due">
      <formula>NOT(ISERROR(SEARCH("Not yet due",R88)))</formula>
    </cfRule>
  </conditionalFormatting>
  <conditionalFormatting sqref="R88:R90 R92:R93 R95 R98:R108 R112:R118 R121 R123">
    <cfRule type="containsText" dxfId="4266" priority="256" operator="containsText" text="Update not Provided">
      <formula>NOT(ISERROR(SEARCH("Update not Provided",R88)))</formula>
    </cfRule>
    <cfRule type="containsText" dxfId="4265" priority="257" operator="containsText" text="Not yet due">
      <formula>NOT(ISERROR(SEARCH("Not yet due",R88)))</formula>
    </cfRule>
    <cfRule type="containsText" dxfId="4264" priority="258" operator="containsText" text="Completed Behind Schedule">
      <formula>NOT(ISERROR(SEARCH("Completed Behind Schedule",R88)))</formula>
    </cfRule>
    <cfRule type="containsText" dxfId="4263" priority="259" operator="containsText" text="Off Target">
      <formula>NOT(ISERROR(SEARCH("Off Target",R88)))</formula>
    </cfRule>
    <cfRule type="containsText" dxfId="4262" priority="261" operator="containsText" text="On Track to be Achieved">
      <formula>NOT(ISERROR(SEARCH("On Track to be Achieved",R88)))</formula>
    </cfRule>
    <cfRule type="containsText" dxfId="4261" priority="262" operator="containsText" text="Fully Achieved">
      <formula>NOT(ISERROR(SEARCH("Fully Achieved",R88)))</formula>
    </cfRule>
  </conditionalFormatting>
  <conditionalFormatting sqref="R88:R90 R92:R93 R95 R98:R108 R112:R118 R121 R123">
    <cfRule type="containsText" dxfId="4260" priority="250" operator="containsText" text="Deferred">
      <formula>NOT(ISERROR(SEARCH("Deferred",R88)))</formula>
    </cfRule>
    <cfRule type="containsText" dxfId="4259" priority="251" operator="containsText" text="Deleted">
      <formula>NOT(ISERROR(SEARCH("Deleted",R88)))</formula>
    </cfRule>
    <cfRule type="containsText" dxfId="4258" priority="252" operator="containsText" text="In Danger of Falling Behind Target">
      <formula>NOT(ISERROR(SEARCH("In Danger of Falling Behind Target",R88)))</formula>
    </cfRule>
    <cfRule type="containsText" dxfId="4257" priority="253" operator="containsText" text="Not yet due">
      <formula>NOT(ISERROR(SEARCH("Not yet due",R88)))</formula>
    </cfRule>
  </conditionalFormatting>
  <conditionalFormatting sqref="V88:V123">
    <cfRule type="containsText" dxfId="4256" priority="247" operator="containsText" text="Fully Achieved">
      <formula>NOT(ISERROR(SEARCH("Fully Achieved",V88)))</formula>
    </cfRule>
    <cfRule type="containsText" dxfId="4255" priority="248" operator="containsText" text="Fully Achieved">
      <formula>NOT(ISERROR(SEARCH("Fully Achieved",V88)))</formula>
    </cfRule>
  </conditionalFormatting>
  <conditionalFormatting sqref="V88:V123">
    <cfRule type="containsText" dxfId="4254" priority="240" operator="containsText" text="Update not Provided">
      <formula>NOT(ISERROR(SEARCH("Update not Provided",V88)))</formula>
    </cfRule>
    <cfRule type="containsText" dxfId="4253" priority="241" operator="containsText" text="Not yet due">
      <formula>NOT(ISERROR(SEARCH("Not yet due",V88)))</formula>
    </cfRule>
    <cfRule type="containsText" dxfId="4252" priority="242" operator="containsText" text="Completed Behind Schedule">
      <formula>NOT(ISERROR(SEARCH("Completed Behind Schedule",V88)))</formula>
    </cfRule>
    <cfRule type="containsText" dxfId="4251" priority="243" operator="containsText" text="Off Target">
      <formula>NOT(ISERROR(SEARCH("Off Target",V88)))</formula>
    </cfRule>
    <cfRule type="containsText" dxfId="4250" priority="244" operator="containsText" text="In Danger of Falling Behind Target">
      <formula>NOT(ISERROR(SEARCH("In Danger of Falling Behind Target",V88)))</formula>
    </cfRule>
    <cfRule type="containsText" dxfId="4249" priority="245" operator="containsText" text="On Track to be Achieved">
      <formula>NOT(ISERROR(SEARCH("On Track to be Achieved",V88)))</formula>
    </cfRule>
    <cfRule type="containsText" dxfId="4248" priority="246" operator="containsText" text="Fully Achieved">
      <formula>NOT(ISERROR(SEARCH("Fully Achieved",V88)))</formula>
    </cfRule>
  </conditionalFormatting>
  <conditionalFormatting sqref="V88:V123">
    <cfRule type="containsText" dxfId="4247" priority="233" operator="containsText" text="Update not Provided">
      <formula>NOT(ISERROR(SEARCH("Update not Provided",V88)))</formula>
    </cfRule>
    <cfRule type="containsText" dxfId="4246" priority="235" operator="containsText" text="Completed Behind Schedule">
      <formula>NOT(ISERROR(SEARCH("Completed Behind Schedule",V88)))</formula>
    </cfRule>
    <cfRule type="containsText" dxfId="4245" priority="236" operator="containsText" text="Off Target">
      <formula>NOT(ISERROR(SEARCH("Off Target",V88)))</formula>
    </cfRule>
    <cfRule type="containsText" dxfId="4244" priority="237" operator="containsText" text="In Danger of Falling Behind Target">
      <formula>NOT(ISERROR(SEARCH("In Danger of Falling Behind Target",V88)))</formula>
    </cfRule>
    <cfRule type="containsText" dxfId="4243" priority="238" operator="containsText" text="On Track to be Achieved">
      <formula>NOT(ISERROR(SEARCH("On Track to be Achieved",V88)))</formula>
    </cfRule>
    <cfRule type="containsText" dxfId="4242" priority="239" operator="containsText" text="Fully Achieved">
      <formula>NOT(ISERROR(SEARCH("Fully Achieved",V88)))</formula>
    </cfRule>
  </conditionalFormatting>
  <conditionalFormatting sqref="V88:V123">
    <cfRule type="containsText" dxfId="4241" priority="218" operator="containsText" text="Not Yet Due">
      <formula>NOT(ISERROR(SEARCH("Not Yet Due",V88)))</formula>
    </cfRule>
    <cfRule type="containsText" dxfId="4240" priority="223" operator="containsText" text="Deferred">
      <formula>NOT(ISERROR(SEARCH("Deferred",V88)))</formula>
    </cfRule>
    <cfRule type="containsText" dxfId="4239" priority="224" operator="containsText" text="Deleted">
      <formula>NOT(ISERROR(SEARCH("Deleted",V88)))</formula>
    </cfRule>
    <cfRule type="containsText" dxfId="4238" priority="229" operator="containsText" text="In Danger of Falling Behind Target">
      <formula>NOT(ISERROR(SEARCH("In Danger of Falling Behind Target",V88)))</formula>
    </cfRule>
    <cfRule type="containsText" dxfId="4237" priority="234" operator="containsText" text="Not yet due">
      <formula>NOT(ISERROR(SEARCH("Not yet due",V88)))</formula>
    </cfRule>
  </conditionalFormatting>
  <conditionalFormatting sqref="V88:V123">
    <cfRule type="containsText" dxfId="4236" priority="232" operator="containsText" text="Not yet due">
      <formula>NOT(ISERROR(SEARCH("Not yet due",V88)))</formula>
    </cfRule>
  </conditionalFormatting>
  <conditionalFormatting sqref="V88:V123">
    <cfRule type="containsText" dxfId="4235" priority="225" operator="containsText" text="Update not Provided">
      <formula>NOT(ISERROR(SEARCH("Update not Provided",V88)))</formula>
    </cfRule>
    <cfRule type="containsText" dxfId="4234" priority="226" operator="containsText" text="Not yet due">
      <formula>NOT(ISERROR(SEARCH("Not yet due",V88)))</formula>
    </cfRule>
    <cfRule type="containsText" dxfId="4233" priority="227" operator="containsText" text="Completed Behind Schedule">
      <formula>NOT(ISERROR(SEARCH("Completed Behind Schedule",V88)))</formula>
    </cfRule>
    <cfRule type="containsText" dxfId="4232" priority="228" operator="containsText" text="Off Target">
      <formula>NOT(ISERROR(SEARCH("Off Target",V88)))</formula>
    </cfRule>
    <cfRule type="containsText" dxfId="4231" priority="230" operator="containsText" text="On Track to be Achieved">
      <formula>NOT(ISERROR(SEARCH("On Track to be Achieved",V88)))</formula>
    </cfRule>
    <cfRule type="containsText" dxfId="4230" priority="231" operator="containsText" text="Fully Achieved">
      <formula>NOT(ISERROR(SEARCH("Fully Achieved",V88)))</formula>
    </cfRule>
  </conditionalFormatting>
  <conditionalFormatting sqref="V88:V123">
    <cfRule type="containsText" dxfId="4229" priority="219" operator="containsText" text="Deferred">
      <formula>NOT(ISERROR(SEARCH("Deferred",V88)))</formula>
    </cfRule>
    <cfRule type="containsText" dxfId="4228" priority="220" operator="containsText" text="Deleted">
      <formula>NOT(ISERROR(SEARCH("Deleted",V88)))</formula>
    </cfRule>
    <cfRule type="containsText" dxfId="4227" priority="221" operator="containsText" text="In Danger of Falling Behind Target">
      <formula>NOT(ISERROR(SEARCH("In Danger of Falling Behind Target",V88)))</formula>
    </cfRule>
    <cfRule type="containsText" dxfId="4226" priority="222" operator="containsText" text="Not yet due">
      <formula>NOT(ISERROR(SEARCH("Not yet due",V88)))</formula>
    </cfRule>
  </conditionalFormatting>
  <conditionalFormatting sqref="V65:V86">
    <cfRule type="containsText" dxfId="4225" priority="216" operator="containsText" text="Fully Achieved">
      <formula>NOT(ISERROR(SEARCH("Fully Achieved",V65)))</formula>
    </cfRule>
    <cfRule type="containsText" dxfId="4224" priority="217" operator="containsText" text="Fully Achieved">
      <formula>NOT(ISERROR(SEARCH("Fully Achieved",V65)))</formula>
    </cfRule>
  </conditionalFormatting>
  <conditionalFormatting sqref="V65:V86">
    <cfRule type="containsText" dxfId="4223" priority="209" operator="containsText" text="Update not Provided">
      <formula>NOT(ISERROR(SEARCH("Update not Provided",V65)))</formula>
    </cfRule>
    <cfRule type="containsText" dxfId="4222" priority="210" operator="containsText" text="Not yet due">
      <formula>NOT(ISERROR(SEARCH("Not yet due",V65)))</formula>
    </cfRule>
    <cfRule type="containsText" dxfId="4221" priority="211" operator="containsText" text="Completed Behind Schedule">
      <formula>NOT(ISERROR(SEARCH("Completed Behind Schedule",V65)))</formula>
    </cfRule>
    <cfRule type="containsText" dxfId="4220" priority="212" operator="containsText" text="Off Target">
      <formula>NOT(ISERROR(SEARCH("Off Target",V65)))</formula>
    </cfRule>
    <cfRule type="containsText" dxfId="4219" priority="213" operator="containsText" text="In Danger of Falling Behind Target">
      <formula>NOT(ISERROR(SEARCH("In Danger of Falling Behind Target",V65)))</formula>
    </cfRule>
    <cfRule type="containsText" dxfId="4218" priority="214" operator="containsText" text="On Track to be Achieved">
      <formula>NOT(ISERROR(SEARCH("On Track to be Achieved",V65)))</formula>
    </cfRule>
    <cfRule type="containsText" dxfId="4217" priority="215" operator="containsText" text="Fully Achieved">
      <formula>NOT(ISERROR(SEARCH("Fully Achieved",V65)))</formula>
    </cfRule>
  </conditionalFormatting>
  <conditionalFormatting sqref="V65:V86">
    <cfRule type="containsText" dxfId="4216" priority="202" operator="containsText" text="Update not Provided">
      <formula>NOT(ISERROR(SEARCH("Update not Provided",V65)))</formula>
    </cfRule>
    <cfRule type="containsText" dxfId="4215" priority="204" operator="containsText" text="Completed Behind Schedule">
      <formula>NOT(ISERROR(SEARCH("Completed Behind Schedule",V65)))</formula>
    </cfRule>
    <cfRule type="containsText" dxfId="4214" priority="205" operator="containsText" text="Off Target">
      <formula>NOT(ISERROR(SEARCH("Off Target",V65)))</formula>
    </cfRule>
    <cfRule type="containsText" dxfId="4213" priority="206" operator="containsText" text="In Danger of Falling Behind Target">
      <formula>NOT(ISERROR(SEARCH("In Danger of Falling Behind Target",V65)))</formula>
    </cfRule>
    <cfRule type="containsText" dxfId="4212" priority="207" operator="containsText" text="On Track to be Achieved">
      <formula>NOT(ISERROR(SEARCH("On Track to be Achieved",V65)))</formula>
    </cfRule>
    <cfRule type="containsText" dxfId="4211" priority="208" operator="containsText" text="Fully Achieved">
      <formula>NOT(ISERROR(SEARCH("Fully Achieved",V65)))</formula>
    </cfRule>
  </conditionalFormatting>
  <conditionalFormatting sqref="V65:V86">
    <cfRule type="containsText" dxfId="4210" priority="187" operator="containsText" text="Not Yet Due">
      <formula>NOT(ISERROR(SEARCH("Not Yet Due",V65)))</formula>
    </cfRule>
    <cfRule type="containsText" dxfId="4209" priority="192" operator="containsText" text="Deferred">
      <formula>NOT(ISERROR(SEARCH("Deferred",V65)))</formula>
    </cfRule>
    <cfRule type="containsText" dxfId="4208" priority="193" operator="containsText" text="Deleted">
      <formula>NOT(ISERROR(SEARCH("Deleted",V65)))</formula>
    </cfRule>
    <cfRule type="containsText" dxfId="4207" priority="198" operator="containsText" text="In Danger of Falling Behind Target">
      <formula>NOT(ISERROR(SEARCH("In Danger of Falling Behind Target",V65)))</formula>
    </cfRule>
    <cfRule type="containsText" dxfId="4206" priority="203" operator="containsText" text="Not yet due">
      <formula>NOT(ISERROR(SEARCH("Not yet due",V65)))</formula>
    </cfRule>
  </conditionalFormatting>
  <conditionalFormatting sqref="V65:V86">
    <cfRule type="containsText" dxfId="4205" priority="201" operator="containsText" text="Not yet due">
      <formula>NOT(ISERROR(SEARCH("Not yet due",V65)))</formula>
    </cfRule>
  </conditionalFormatting>
  <conditionalFormatting sqref="V65:V86">
    <cfRule type="containsText" dxfId="4204" priority="194" operator="containsText" text="Update not Provided">
      <formula>NOT(ISERROR(SEARCH("Update not Provided",V65)))</formula>
    </cfRule>
    <cfRule type="containsText" dxfId="4203" priority="195" operator="containsText" text="Not yet due">
      <formula>NOT(ISERROR(SEARCH("Not yet due",V65)))</formula>
    </cfRule>
    <cfRule type="containsText" dxfId="4202" priority="196" operator="containsText" text="Completed Behind Schedule">
      <formula>NOT(ISERROR(SEARCH("Completed Behind Schedule",V65)))</formula>
    </cfRule>
    <cfRule type="containsText" dxfId="4201" priority="197" operator="containsText" text="Off Target">
      <formula>NOT(ISERROR(SEARCH("Off Target",V65)))</formula>
    </cfRule>
    <cfRule type="containsText" dxfId="4200" priority="199" operator="containsText" text="On Track to be Achieved">
      <formula>NOT(ISERROR(SEARCH("On Track to be Achieved",V65)))</formula>
    </cfRule>
    <cfRule type="containsText" dxfId="4199" priority="200" operator="containsText" text="Fully Achieved">
      <formula>NOT(ISERROR(SEARCH("Fully Achieved",V65)))</formula>
    </cfRule>
  </conditionalFormatting>
  <conditionalFormatting sqref="V65:V86">
    <cfRule type="containsText" dxfId="4198" priority="188" operator="containsText" text="Deferred">
      <formula>NOT(ISERROR(SEARCH("Deferred",V65)))</formula>
    </cfRule>
    <cfRule type="containsText" dxfId="4197" priority="189" operator="containsText" text="Deleted">
      <formula>NOT(ISERROR(SEARCH("Deleted",V65)))</formula>
    </cfRule>
    <cfRule type="containsText" dxfId="4196" priority="190" operator="containsText" text="In Danger of Falling Behind Target">
      <formula>NOT(ISERROR(SEARCH("In Danger of Falling Behind Target",V65)))</formula>
    </cfRule>
    <cfRule type="containsText" dxfId="4195" priority="191" operator="containsText" text="Not yet due">
      <formula>NOT(ISERROR(SEARCH("Not yet due",V65)))</formula>
    </cfRule>
  </conditionalFormatting>
  <conditionalFormatting sqref="V5:V63">
    <cfRule type="containsText" dxfId="4194" priority="185" operator="containsText" text="Fully Achieved">
      <formula>NOT(ISERROR(SEARCH("Fully Achieved",V5)))</formula>
    </cfRule>
    <cfRule type="containsText" dxfId="4193" priority="186" operator="containsText" text="Fully Achieved">
      <formula>NOT(ISERROR(SEARCH("Fully Achieved",V5)))</formula>
    </cfRule>
  </conditionalFormatting>
  <conditionalFormatting sqref="V5:V63">
    <cfRule type="containsText" dxfId="4192" priority="178" operator="containsText" text="Update not Provided">
      <formula>NOT(ISERROR(SEARCH("Update not Provided",V5)))</formula>
    </cfRule>
    <cfRule type="containsText" dxfId="4191" priority="179" operator="containsText" text="Not yet due">
      <formula>NOT(ISERROR(SEARCH("Not yet due",V5)))</formula>
    </cfRule>
    <cfRule type="containsText" dxfId="4190" priority="180" operator="containsText" text="Completed Behind Schedule">
      <formula>NOT(ISERROR(SEARCH("Completed Behind Schedule",V5)))</formula>
    </cfRule>
    <cfRule type="containsText" dxfId="4189" priority="181" operator="containsText" text="Off Target">
      <formula>NOT(ISERROR(SEARCH("Off Target",V5)))</formula>
    </cfRule>
    <cfRule type="containsText" dxfId="4188" priority="182" operator="containsText" text="In Danger of Falling Behind Target">
      <formula>NOT(ISERROR(SEARCH("In Danger of Falling Behind Target",V5)))</formula>
    </cfRule>
    <cfRule type="containsText" dxfId="4187" priority="183" operator="containsText" text="On Track to be Achieved">
      <formula>NOT(ISERROR(SEARCH("On Track to be Achieved",V5)))</formula>
    </cfRule>
    <cfRule type="containsText" dxfId="4186" priority="184" operator="containsText" text="Fully Achieved">
      <formula>NOT(ISERROR(SEARCH("Fully Achieved",V5)))</formula>
    </cfRule>
  </conditionalFormatting>
  <conditionalFormatting sqref="V5:V63">
    <cfRule type="containsText" dxfId="4185" priority="171" operator="containsText" text="Update not Provided">
      <formula>NOT(ISERROR(SEARCH("Update not Provided",V5)))</formula>
    </cfRule>
    <cfRule type="containsText" dxfId="4184" priority="173" operator="containsText" text="Completed Behind Schedule">
      <formula>NOT(ISERROR(SEARCH("Completed Behind Schedule",V5)))</formula>
    </cfRule>
    <cfRule type="containsText" dxfId="4183" priority="174" operator="containsText" text="Off Target">
      <formula>NOT(ISERROR(SEARCH("Off Target",V5)))</formula>
    </cfRule>
    <cfRule type="containsText" dxfId="4182" priority="175" operator="containsText" text="In Danger of Falling Behind Target">
      <formula>NOT(ISERROR(SEARCH("In Danger of Falling Behind Target",V5)))</formula>
    </cfRule>
    <cfRule type="containsText" dxfId="4181" priority="176" operator="containsText" text="On Track to be Achieved">
      <formula>NOT(ISERROR(SEARCH("On Track to be Achieved",V5)))</formula>
    </cfRule>
    <cfRule type="containsText" dxfId="4180" priority="177" operator="containsText" text="Fully Achieved">
      <formula>NOT(ISERROR(SEARCH("Fully Achieved",V5)))</formula>
    </cfRule>
  </conditionalFormatting>
  <conditionalFormatting sqref="V5:V63">
    <cfRule type="containsText" dxfId="4179" priority="156" operator="containsText" text="Not Yet Due">
      <formula>NOT(ISERROR(SEARCH("Not Yet Due",V5)))</formula>
    </cfRule>
    <cfRule type="containsText" dxfId="4178" priority="161" operator="containsText" text="Deferred">
      <formula>NOT(ISERROR(SEARCH("Deferred",V5)))</formula>
    </cfRule>
    <cfRule type="containsText" dxfId="4177" priority="162" operator="containsText" text="Deleted">
      <formula>NOT(ISERROR(SEARCH("Deleted",V5)))</formula>
    </cfRule>
    <cfRule type="containsText" dxfId="4176" priority="167" operator="containsText" text="In Danger of Falling Behind Target">
      <formula>NOT(ISERROR(SEARCH("In Danger of Falling Behind Target",V5)))</formula>
    </cfRule>
    <cfRule type="containsText" dxfId="4175" priority="172" operator="containsText" text="Not yet due">
      <formula>NOT(ISERROR(SEARCH("Not yet due",V5)))</formula>
    </cfRule>
  </conditionalFormatting>
  <conditionalFormatting sqref="V5:V63">
    <cfRule type="containsText" dxfId="4174" priority="170" operator="containsText" text="Not yet due">
      <formula>NOT(ISERROR(SEARCH("Not yet due",V5)))</formula>
    </cfRule>
  </conditionalFormatting>
  <conditionalFormatting sqref="V5:V63">
    <cfRule type="containsText" dxfId="4173" priority="163" operator="containsText" text="Update not Provided">
      <formula>NOT(ISERROR(SEARCH("Update not Provided",V5)))</formula>
    </cfRule>
    <cfRule type="containsText" dxfId="4172" priority="164" operator="containsText" text="Not yet due">
      <formula>NOT(ISERROR(SEARCH("Not yet due",V5)))</formula>
    </cfRule>
    <cfRule type="containsText" dxfId="4171" priority="165" operator="containsText" text="Completed Behind Schedule">
      <formula>NOT(ISERROR(SEARCH("Completed Behind Schedule",V5)))</formula>
    </cfRule>
    <cfRule type="containsText" dxfId="4170" priority="166" operator="containsText" text="Off Target">
      <formula>NOT(ISERROR(SEARCH("Off Target",V5)))</formula>
    </cfRule>
    <cfRule type="containsText" dxfId="4169" priority="168" operator="containsText" text="On Track to be Achieved">
      <formula>NOT(ISERROR(SEARCH("On Track to be Achieved",V5)))</formula>
    </cfRule>
    <cfRule type="containsText" dxfId="4168" priority="169" operator="containsText" text="Fully Achieved">
      <formula>NOT(ISERROR(SEARCH("Fully Achieved",V5)))</formula>
    </cfRule>
  </conditionalFormatting>
  <conditionalFormatting sqref="V5:V63">
    <cfRule type="containsText" dxfId="4167" priority="157" operator="containsText" text="Deferred">
      <formula>NOT(ISERROR(SEARCH("Deferred",V5)))</formula>
    </cfRule>
    <cfRule type="containsText" dxfId="4166" priority="158" operator="containsText" text="Deleted">
      <formula>NOT(ISERROR(SEARCH("Deleted",V5)))</formula>
    </cfRule>
    <cfRule type="containsText" dxfId="4165" priority="159" operator="containsText" text="In Danger of Falling Behind Target">
      <formula>NOT(ISERROR(SEARCH("In Danger of Falling Behind Target",V5)))</formula>
    </cfRule>
    <cfRule type="containsText" dxfId="4164" priority="160" operator="containsText" text="Not yet due">
      <formula>NOT(ISERROR(SEARCH("Not yet due",V5)))</formula>
    </cfRule>
  </conditionalFormatting>
  <conditionalFormatting sqref="H87">
    <cfRule type="containsText" dxfId="4163" priority="154" operator="containsText" text="Fully Achieved">
      <formula>NOT(ISERROR(SEARCH("Fully Achieved",H87)))</formula>
    </cfRule>
    <cfRule type="containsText" dxfId="4162" priority="155" operator="containsText" text="Fully Achieved">
      <formula>NOT(ISERROR(SEARCH("Fully Achieved",H87)))</formula>
    </cfRule>
  </conditionalFormatting>
  <conditionalFormatting sqref="H87">
    <cfRule type="containsText" dxfId="4161" priority="147" operator="containsText" text="Update not Provided">
      <formula>NOT(ISERROR(SEARCH("Update not Provided",H87)))</formula>
    </cfRule>
    <cfRule type="containsText" dxfId="4160" priority="148" operator="containsText" text="Not yet due">
      <formula>NOT(ISERROR(SEARCH("Not yet due",H87)))</formula>
    </cfRule>
    <cfRule type="containsText" dxfId="4159" priority="149" operator="containsText" text="Completed Behind Schedule">
      <formula>NOT(ISERROR(SEARCH("Completed Behind Schedule",H87)))</formula>
    </cfRule>
    <cfRule type="containsText" dxfId="4158" priority="150" operator="containsText" text="Off Target">
      <formula>NOT(ISERROR(SEARCH("Off Target",H87)))</formula>
    </cfRule>
    <cfRule type="containsText" dxfId="4157" priority="151" operator="containsText" text="In Danger of Falling Behind Target">
      <formula>NOT(ISERROR(SEARCH("In Danger of Falling Behind Target",H87)))</formula>
    </cfRule>
    <cfRule type="containsText" dxfId="4156" priority="152" operator="containsText" text="On Track to be Achieved">
      <formula>NOT(ISERROR(SEARCH("On Track to be Achieved",H87)))</formula>
    </cfRule>
    <cfRule type="containsText" dxfId="4155" priority="153" operator="containsText" text="Fully Achieved">
      <formula>NOT(ISERROR(SEARCH("Fully Achieved",H87)))</formula>
    </cfRule>
  </conditionalFormatting>
  <conditionalFormatting sqref="H87">
    <cfRule type="containsText" dxfId="4154" priority="141" operator="containsText" text="Update not Provided">
      <formula>NOT(ISERROR(SEARCH("Update not Provided",H87)))</formula>
    </cfRule>
    <cfRule type="containsText" dxfId="4153" priority="142" operator="containsText" text="Completed Behind Schedule">
      <formula>NOT(ISERROR(SEARCH("Completed Behind Schedule",H87)))</formula>
    </cfRule>
    <cfRule type="containsText" dxfId="4152" priority="143" operator="containsText" text="Off Target">
      <formula>NOT(ISERROR(SEARCH("Off Target",H87)))</formula>
    </cfRule>
    <cfRule type="containsText" dxfId="4151" priority="144" operator="containsText" text="In Danger of Falling Behind Target">
      <formula>NOT(ISERROR(SEARCH("In Danger of Falling Behind Target",H87)))</formula>
    </cfRule>
    <cfRule type="containsText" dxfId="4150" priority="145" operator="containsText" text="On Track to be Achieved">
      <formula>NOT(ISERROR(SEARCH("On Track to be Achieved",H87)))</formula>
    </cfRule>
    <cfRule type="containsText" dxfId="4149" priority="146" operator="containsText" text="Fully Achieved">
      <formula>NOT(ISERROR(SEARCH("Fully Achieved",H87)))</formula>
    </cfRule>
  </conditionalFormatting>
  <conditionalFormatting sqref="H87">
    <cfRule type="containsText" dxfId="4148" priority="136" operator="containsText" text="Not Yet Due">
      <formula>NOT(ISERROR(SEARCH("Not Yet Due",H87)))</formula>
    </cfRule>
    <cfRule type="containsText" dxfId="4147" priority="137" operator="containsText" text="Deferred">
      <formula>NOT(ISERROR(SEARCH("Deferred",H87)))</formula>
    </cfRule>
    <cfRule type="containsText" dxfId="4146" priority="138" operator="containsText" text="Deleted">
      <formula>NOT(ISERROR(SEARCH("Deleted",H87)))</formula>
    </cfRule>
    <cfRule type="containsText" dxfId="4145" priority="139" operator="containsText" text="In Danger of Falling Behind Target">
      <formula>NOT(ISERROR(SEARCH("In Danger of Falling Behind Target",H87)))</formula>
    </cfRule>
    <cfRule type="containsText" dxfId="4144" priority="140" operator="containsText" text="Not yet due">
      <formula>NOT(ISERROR(SEARCH("Not yet due",H87)))</formula>
    </cfRule>
  </conditionalFormatting>
  <conditionalFormatting sqref="H87">
    <cfRule type="containsText" dxfId="4143" priority="135" operator="containsText" text="Not yet due">
      <formula>NOT(ISERROR(SEARCH("Not yet due",H87)))</formula>
    </cfRule>
  </conditionalFormatting>
  <conditionalFormatting sqref="H87">
    <cfRule type="containsText" dxfId="4142" priority="129" operator="containsText" text="Update not Provided">
      <formula>NOT(ISERROR(SEARCH("Update not Provided",H87)))</formula>
    </cfRule>
    <cfRule type="containsText" dxfId="4141" priority="130" operator="containsText" text="Not yet due">
      <formula>NOT(ISERROR(SEARCH("Not yet due",H87)))</formula>
    </cfRule>
    <cfRule type="containsText" dxfId="4140" priority="131" operator="containsText" text="Completed Behind Schedule">
      <formula>NOT(ISERROR(SEARCH("Completed Behind Schedule",H87)))</formula>
    </cfRule>
    <cfRule type="containsText" dxfId="4139" priority="132" operator="containsText" text="Off Target">
      <formula>NOT(ISERROR(SEARCH("Off Target",H87)))</formula>
    </cfRule>
    <cfRule type="containsText" dxfId="4138" priority="133" operator="containsText" text="On Track to be Achieved">
      <formula>NOT(ISERROR(SEARCH("On Track to be Achieved",H87)))</formula>
    </cfRule>
    <cfRule type="containsText" dxfId="4137" priority="134" operator="containsText" text="Fully Achieved">
      <formula>NOT(ISERROR(SEARCH("Fully Achieved",H87)))</formula>
    </cfRule>
  </conditionalFormatting>
  <conditionalFormatting sqref="H87">
    <cfRule type="containsText" dxfId="4136" priority="125" operator="containsText" text="Deferred">
      <formula>NOT(ISERROR(SEARCH("Deferred",H87)))</formula>
    </cfRule>
    <cfRule type="containsText" dxfId="4135" priority="126" operator="containsText" text="Deleted">
      <formula>NOT(ISERROR(SEARCH("Deleted",H87)))</formula>
    </cfRule>
    <cfRule type="containsText" dxfId="4134" priority="127" operator="containsText" text="In Danger of Falling Behind Target">
      <formula>NOT(ISERROR(SEARCH("In Danger of Falling Behind Target",H87)))</formula>
    </cfRule>
    <cfRule type="containsText" dxfId="4133" priority="128" operator="containsText" text="Not yet due">
      <formula>NOT(ISERROR(SEARCH("Not yet due",H87)))</formula>
    </cfRule>
  </conditionalFormatting>
  <conditionalFormatting sqref="H64">
    <cfRule type="containsText" dxfId="4132" priority="123" operator="containsText" text="Fully Achieved">
      <formula>NOT(ISERROR(SEARCH("Fully Achieved",H64)))</formula>
    </cfRule>
    <cfRule type="containsText" dxfId="4131" priority="124" operator="containsText" text="Fully Achieved">
      <formula>NOT(ISERROR(SEARCH("Fully Achieved",H64)))</formula>
    </cfRule>
  </conditionalFormatting>
  <conditionalFormatting sqref="H64">
    <cfRule type="containsText" dxfId="4130" priority="116" operator="containsText" text="Update not Provided">
      <formula>NOT(ISERROR(SEARCH("Update not Provided",H64)))</formula>
    </cfRule>
    <cfRule type="containsText" dxfId="4129" priority="117" operator="containsText" text="Not yet due">
      <formula>NOT(ISERROR(SEARCH("Not yet due",H64)))</formula>
    </cfRule>
    <cfRule type="containsText" dxfId="4128" priority="118" operator="containsText" text="Completed Behind Schedule">
      <formula>NOT(ISERROR(SEARCH("Completed Behind Schedule",H64)))</formula>
    </cfRule>
    <cfRule type="containsText" dxfId="4127" priority="119" operator="containsText" text="Off Target">
      <formula>NOT(ISERROR(SEARCH("Off Target",H64)))</formula>
    </cfRule>
    <cfRule type="containsText" dxfId="4126" priority="120" operator="containsText" text="In Danger of Falling Behind Target">
      <formula>NOT(ISERROR(SEARCH("In Danger of Falling Behind Target",H64)))</formula>
    </cfRule>
    <cfRule type="containsText" dxfId="4125" priority="121" operator="containsText" text="On Track to be Achieved">
      <formula>NOT(ISERROR(SEARCH("On Track to be Achieved",H64)))</formula>
    </cfRule>
    <cfRule type="containsText" dxfId="4124" priority="122" operator="containsText" text="Fully Achieved">
      <formula>NOT(ISERROR(SEARCH("Fully Achieved",H64)))</formula>
    </cfRule>
  </conditionalFormatting>
  <conditionalFormatting sqref="H64">
    <cfRule type="containsText" dxfId="4123" priority="110" operator="containsText" text="Update not Provided">
      <formula>NOT(ISERROR(SEARCH("Update not Provided",H64)))</formula>
    </cfRule>
    <cfRule type="containsText" dxfId="4122" priority="111" operator="containsText" text="Completed Behind Schedule">
      <formula>NOT(ISERROR(SEARCH("Completed Behind Schedule",H64)))</formula>
    </cfRule>
    <cfRule type="containsText" dxfId="4121" priority="112" operator="containsText" text="Off Target">
      <formula>NOT(ISERROR(SEARCH("Off Target",H64)))</formula>
    </cfRule>
    <cfRule type="containsText" dxfId="4120" priority="113" operator="containsText" text="In Danger of Falling Behind Target">
      <formula>NOT(ISERROR(SEARCH("In Danger of Falling Behind Target",H64)))</formula>
    </cfRule>
    <cfRule type="containsText" dxfId="4119" priority="114" operator="containsText" text="On Track to be Achieved">
      <formula>NOT(ISERROR(SEARCH("On Track to be Achieved",H64)))</formula>
    </cfRule>
    <cfRule type="containsText" dxfId="4118" priority="115" operator="containsText" text="Fully Achieved">
      <formula>NOT(ISERROR(SEARCH("Fully Achieved",H64)))</formula>
    </cfRule>
  </conditionalFormatting>
  <conditionalFormatting sqref="H64">
    <cfRule type="containsText" dxfId="4117" priority="105" operator="containsText" text="Not Yet Due">
      <formula>NOT(ISERROR(SEARCH("Not Yet Due",H64)))</formula>
    </cfRule>
    <cfRule type="containsText" dxfId="4116" priority="106" operator="containsText" text="Deferred">
      <formula>NOT(ISERROR(SEARCH("Deferred",H64)))</formula>
    </cfRule>
    <cfRule type="containsText" dxfId="4115" priority="107" operator="containsText" text="Deleted">
      <formula>NOT(ISERROR(SEARCH("Deleted",H64)))</formula>
    </cfRule>
    <cfRule type="containsText" dxfId="4114" priority="108" operator="containsText" text="In Danger of Falling Behind Target">
      <formula>NOT(ISERROR(SEARCH("In Danger of Falling Behind Target",H64)))</formula>
    </cfRule>
    <cfRule type="containsText" dxfId="4113" priority="109" operator="containsText" text="Not yet due">
      <formula>NOT(ISERROR(SEARCH("Not yet due",H64)))</formula>
    </cfRule>
  </conditionalFormatting>
  <conditionalFormatting sqref="H64">
    <cfRule type="containsText" dxfId="4112" priority="104" operator="containsText" text="Not yet due">
      <formula>NOT(ISERROR(SEARCH("Not yet due",H64)))</formula>
    </cfRule>
  </conditionalFormatting>
  <conditionalFormatting sqref="H64">
    <cfRule type="containsText" dxfId="4111" priority="98" operator="containsText" text="Update not Provided">
      <formula>NOT(ISERROR(SEARCH("Update not Provided",H64)))</formula>
    </cfRule>
    <cfRule type="containsText" dxfId="4110" priority="99" operator="containsText" text="Not yet due">
      <formula>NOT(ISERROR(SEARCH("Not yet due",H64)))</formula>
    </cfRule>
    <cfRule type="containsText" dxfId="4109" priority="100" operator="containsText" text="Completed Behind Schedule">
      <formula>NOT(ISERROR(SEARCH("Completed Behind Schedule",H64)))</formula>
    </cfRule>
    <cfRule type="containsText" dxfId="4108" priority="101" operator="containsText" text="Off Target">
      <formula>NOT(ISERROR(SEARCH("Off Target",H64)))</formula>
    </cfRule>
    <cfRule type="containsText" dxfId="4107" priority="102" operator="containsText" text="On Track to be Achieved">
      <formula>NOT(ISERROR(SEARCH("On Track to be Achieved",H64)))</formula>
    </cfRule>
    <cfRule type="containsText" dxfId="4106" priority="103" operator="containsText" text="Fully Achieved">
      <formula>NOT(ISERROR(SEARCH("Fully Achieved",H64)))</formula>
    </cfRule>
  </conditionalFormatting>
  <conditionalFormatting sqref="H64">
    <cfRule type="containsText" dxfId="4105" priority="94" operator="containsText" text="Deferred">
      <formula>NOT(ISERROR(SEARCH("Deferred",H64)))</formula>
    </cfRule>
    <cfRule type="containsText" dxfId="4104" priority="95" operator="containsText" text="Deleted">
      <formula>NOT(ISERROR(SEARCH("Deleted",H64)))</formula>
    </cfRule>
    <cfRule type="containsText" dxfId="4103" priority="96" operator="containsText" text="In Danger of Falling Behind Target">
      <formula>NOT(ISERROR(SEARCH("In Danger of Falling Behind Target",H64)))</formula>
    </cfRule>
    <cfRule type="containsText" dxfId="4102" priority="97" operator="containsText" text="Not yet due">
      <formula>NOT(ISERROR(SEARCH("Not yet due",H64)))</formula>
    </cfRule>
  </conditionalFormatting>
  <conditionalFormatting sqref="H64">
    <cfRule type="containsText" dxfId="4101" priority="92" operator="containsText" text="Fully Achieved">
      <formula>NOT(ISERROR(SEARCH("Fully Achieved",H64)))</formula>
    </cfRule>
    <cfRule type="containsText" dxfId="4100" priority="93" operator="containsText" text="Fully Achieved">
      <formula>NOT(ISERROR(SEARCH("Fully Achieved",H64)))</formula>
    </cfRule>
  </conditionalFormatting>
  <conditionalFormatting sqref="H64">
    <cfRule type="containsText" dxfId="4099" priority="85" operator="containsText" text="Update not Provided">
      <formula>NOT(ISERROR(SEARCH("Update not Provided",H64)))</formula>
    </cfRule>
    <cfRule type="containsText" dxfId="4098" priority="86" operator="containsText" text="Not yet due">
      <formula>NOT(ISERROR(SEARCH("Not yet due",H64)))</formula>
    </cfRule>
    <cfRule type="containsText" dxfId="4097" priority="87" operator="containsText" text="Completed Behind Schedule">
      <formula>NOT(ISERROR(SEARCH("Completed Behind Schedule",H64)))</formula>
    </cfRule>
    <cfRule type="containsText" dxfId="4096" priority="88" operator="containsText" text="Off Target">
      <formula>NOT(ISERROR(SEARCH("Off Target",H64)))</formula>
    </cfRule>
    <cfRule type="containsText" dxfId="4095" priority="89" operator="containsText" text="In Danger of Falling Behind Target">
      <formula>NOT(ISERROR(SEARCH("In Danger of Falling Behind Target",H64)))</formula>
    </cfRule>
    <cfRule type="containsText" dxfId="4094" priority="90" operator="containsText" text="On Track to be Achieved">
      <formula>NOT(ISERROR(SEARCH("On Track to be Achieved",H64)))</formula>
    </cfRule>
    <cfRule type="containsText" dxfId="4093" priority="91" operator="containsText" text="Fully Achieved">
      <formula>NOT(ISERROR(SEARCH("Fully Achieved",H64)))</formula>
    </cfRule>
  </conditionalFormatting>
  <conditionalFormatting sqref="H64">
    <cfRule type="containsText" dxfId="4092" priority="79" operator="containsText" text="Update not Provided">
      <formula>NOT(ISERROR(SEARCH("Update not Provided",H64)))</formula>
    </cfRule>
    <cfRule type="containsText" dxfId="4091" priority="80" operator="containsText" text="Completed Behind Schedule">
      <formula>NOT(ISERROR(SEARCH("Completed Behind Schedule",H64)))</formula>
    </cfRule>
    <cfRule type="containsText" dxfId="4090" priority="81" operator="containsText" text="Off Target">
      <formula>NOT(ISERROR(SEARCH("Off Target",H64)))</formula>
    </cfRule>
    <cfRule type="containsText" dxfId="4089" priority="82" operator="containsText" text="In Danger of Falling Behind Target">
      <formula>NOT(ISERROR(SEARCH("In Danger of Falling Behind Target",H64)))</formula>
    </cfRule>
    <cfRule type="containsText" dxfId="4088" priority="83" operator="containsText" text="On Track to be Achieved">
      <formula>NOT(ISERROR(SEARCH("On Track to be Achieved",H64)))</formula>
    </cfRule>
    <cfRule type="containsText" dxfId="4087" priority="84" operator="containsText" text="Fully Achieved">
      <formula>NOT(ISERROR(SEARCH("Fully Achieved",H64)))</formula>
    </cfRule>
  </conditionalFormatting>
  <conditionalFormatting sqref="H64">
    <cfRule type="containsText" dxfId="4086" priority="74" operator="containsText" text="Not Yet Due">
      <formula>NOT(ISERROR(SEARCH("Not Yet Due",H64)))</formula>
    </cfRule>
    <cfRule type="containsText" dxfId="4085" priority="75" operator="containsText" text="Deferred">
      <formula>NOT(ISERROR(SEARCH("Deferred",H64)))</formula>
    </cfRule>
    <cfRule type="containsText" dxfId="4084" priority="76" operator="containsText" text="Deleted">
      <formula>NOT(ISERROR(SEARCH("Deleted",H64)))</formula>
    </cfRule>
    <cfRule type="containsText" dxfId="4083" priority="77" operator="containsText" text="In Danger of Falling Behind Target">
      <formula>NOT(ISERROR(SEARCH("In Danger of Falling Behind Target",H64)))</formula>
    </cfRule>
    <cfRule type="containsText" dxfId="4082" priority="78" operator="containsText" text="Not yet due">
      <formula>NOT(ISERROR(SEARCH("Not yet due",H64)))</formula>
    </cfRule>
  </conditionalFormatting>
  <conditionalFormatting sqref="H64">
    <cfRule type="containsText" dxfId="4081" priority="73" operator="containsText" text="Not yet due">
      <formula>NOT(ISERROR(SEARCH("Not yet due",H64)))</formula>
    </cfRule>
  </conditionalFormatting>
  <conditionalFormatting sqref="H64">
    <cfRule type="containsText" dxfId="4080" priority="67" operator="containsText" text="Update not Provided">
      <formula>NOT(ISERROR(SEARCH("Update not Provided",H64)))</formula>
    </cfRule>
    <cfRule type="containsText" dxfId="4079" priority="68" operator="containsText" text="Not yet due">
      <formula>NOT(ISERROR(SEARCH("Not yet due",H64)))</formula>
    </cfRule>
    <cfRule type="containsText" dxfId="4078" priority="69" operator="containsText" text="Completed Behind Schedule">
      <formula>NOT(ISERROR(SEARCH("Completed Behind Schedule",H64)))</formula>
    </cfRule>
    <cfRule type="containsText" dxfId="4077" priority="70" operator="containsText" text="Off Target">
      <formula>NOT(ISERROR(SEARCH("Off Target",H64)))</formula>
    </cfRule>
    <cfRule type="containsText" dxfId="4076" priority="71" operator="containsText" text="On Track to be Achieved">
      <formula>NOT(ISERROR(SEARCH("On Track to be Achieved",H64)))</formula>
    </cfRule>
    <cfRule type="containsText" dxfId="4075" priority="72" operator="containsText" text="Fully Achieved">
      <formula>NOT(ISERROR(SEARCH("Fully Achieved",H64)))</formula>
    </cfRule>
  </conditionalFormatting>
  <conditionalFormatting sqref="H64">
    <cfRule type="containsText" dxfId="4074" priority="63" operator="containsText" text="Deferred">
      <formula>NOT(ISERROR(SEARCH("Deferred",H64)))</formula>
    </cfRule>
    <cfRule type="containsText" dxfId="4073" priority="64" operator="containsText" text="Deleted">
      <formula>NOT(ISERROR(SEARCH("Deleted",H64)))</formula>
    </cfRule>
    <cfRule type="containsText" dxfId="4072" priority="65" operator="containsText" text="In Danger of Falling Behind Target">
      <formula>NOT(ISERROR(SEARCH("In Danger of Falling Behind Target",H64)))</formula>
    </cfRule>
    <cfRule type="containsText" dxfId="4071" priority="66" operator="containsText" text="Not yet due">
      <formula>NOT(ISERROR(SEARCH("Not yet due",H64)))</formula>
    </cfRule>
  </conditionalFormatting>
  <conditionalFormatting sqref="M87">
    <cfRule type="containsText" dxfId="4070" priority="61" operator="containsText" text="Fully Achieved">
      <formula>NOT(ISERROR(SEARCH("Fully Achieved",M87)))</formula>
    </cfRule>
    <cfRule type="containsText" dxfId="4069" priority="62" operator="containsText" text="Fully Achieved">
      <formula>NOT(ISERROR(SEARCH("Fully Achieved",M87)))</formula>
    </cfRule>
  </conditionalFormatting>
  <conditionalFormatting sqref="M87">
    <cfRule type="containsText" dxfId="4068" priority="54" operator="containsText" text="Update not Provided">
      <formula>NOT(ISERROR(SEARCH("Update not Provided",M87)))</formula>
    </cfRule>
    <cfRule type="containsText" dxfId="4067" priority="55" operator="containsText" text="Not yet due">
      <formula>NOT(ISERROR(SEARCH("Not yet due",M87)))</formula>
    </cfRule>
    <cfRule type="containsText" dxfId="4066" priority="56" operator="containsText" text="Completed Behind Schedule">
      <formula>NOT(ISERROR(SEARCH("Completed Behind Schedule",M87)))</formula>
    </cfRule>
    <cfRule type="containsText" dxfId="4065" priority="57" operator="containsText" text="Off Target">
      <formula>NOT(ISERROR(SEARCH("Off Target",M87)))</formula>
    </cfRule>
    <cfRule type="containsText" dxfId="4064" priority="58" operator="containsText" text="In Danger of Falling Behind Target">
      <formula>NOT(ISERROR(SEARCH("In Danger of Falling Behind Target",M87)))</formula>
    </cfRule>
    <cfRule type="containsText" dxfId="4063" priority="59" operator="containsText" text="On Track to be Achieved">
      <formula>NOT(ISERROR(SEARCH("On Track to be Achieved",M87)))</formula>
    </cfRule>
    <cfRule type="containsText" dxfId="4062" priority="60" operator="containsText" text="Fully Achieved">
      <formula>NOT(ISERROR(SEARCH("Fully Achieved",M87)))</formula>
    </cfRule>
  </conditionalFormatting>
  <conditionalFormatting sqref="M87">
    <cfRule type="containsText" dxfId="4061" priority="47" operator="containsText" text="Update not Provided">
      <formula>NOT(ISERROR(SEARCH("Update not Provided",M87)))</formula>
    </cfRule>
    <cfRule type="containsText" dxfId="4060" priority="49" operator="containsText" text="Completed Behind Schedule">
      <formula>NOT(ISERROR(SEARCH("Completed Behind Schedule",M87)))</formula>
    </cfRule>
    <cfRule type="containsText" dxfId="4059" priority="50" operator="containsText" text="Off Target">
      <formula>NOT(ISERROR(SEARCH("Off Target",M87)))</formula>
    </cfRule>
    <cfRule type="containsText" dxfId="4058" priority="51" operator="containsText" text="In Danger of Falling Behind Target">
      <formula>NOT(ISERROR(SEARCH("In Danger of Falling Behind Target",M87)))</formula>
    </cfRule>
    <cfRule type="containsText" dxfId="4057" priority="52" operator="containsText" text="On Track to be Achieved">
      <formula>NOT(ISERROR(SEARCH("On Track to be Achieved",M87)))</formula>
    </cfRule>
    <cfRule type="containsText" dxfId="4056" priority="53" operator="containsText" text="Fully Achieved">
      <formula>NOT(ISERROR(SEARCH("Fully Achieved",M87)))</formula>
    </cfRule>
  </conditionalFormatting>
  <conditionalFormatting sqref="M87">
    <cfRule type="containsText" dxfId="4055" priority="32" operator="containsText" text="Not Yet Due">
      <formula>NOT(ISERROR(SEARCH("Not Yet Due",M87)))</formula>
    </cfRule>
    <cfRule type="containsText" dxfId="4054" priority="37" operator="containsText" text="Deferred">
      <formula>NOT(ISERROR(SEARCH("Deferred",M87)))</formula>
    </cfRule>
    <cfRule type="containsText" dxfId="4053" priority="38" operator="containsText" text="Deleted">
      <formula>NOT(ISERROR(SEARCH("Deleted",M87)))</formula>
    </cfRule>
    <cfRule type="containsText" dxfId="4052" priority="43" operator="containsText" text="In Danger of Falling Behind Target">
      <formula>NOT(ISERROR(SEARCH("In Danger of Falling Behind Target",M87)))</formula>
    </cfRule>
    <cfRule type="containsText" dxfId="4051" priority="48" operator="containsText" text="Not yet due">
      <formula>NOT(ISERROR(SEARCH("Not yet due",M87)))</formula>
    </cfRule>
  </conditionalFormatting>
  <conditionalFormatting sqref="M87">
    <cfRule type="containsText" dxfId="4050" priority="46" operator="containsText" text="Not yet due">
      <formula>NOT(ISERROR(SEARCH("Not yet due",M87)))</formula>
    </cfRule>
  </conditionalFormatting>
  <conditionalFormatting sqref="M87">
    <cfRule type="containsText" dxfId="4049" priority="39" operator="containsText" text="Update not Provided">
      <formula>NOT(ISERROR(SEARCH("Update not Provided",M87)))</formula>
    </cfRule>
    <cfRule type="containsText" dxfId="4048" priority="40" operator="containsText" text="Not yet due">
      <formula>NOT(ISERROR(SEARCH("Not yet due",M87)))</formula>
    </cfRule>
    <cfRule type="containsText" dxfId="4047" priority="41" operator="containsText" text="Completed Behind Schedule">
      <formula>NOT(ISERROR(SEARCH("Completed Behind Schedule",M87)))</formula>
    </cfRule>
    <cfRule type="containsText" dxfId="4046" priority="42" operator="containsText" text="Off Target">
      <formula>NOT(ISERROR(SEARCH("Off Target",M87)))</formula>
    </cfRule>
    <cfRule type="containsText" dxfId="4045" priority="44" operator="containsText" text="On Track to be Achieved">
      <formula>NOT(ISERROR(SEARCH("On Track to be Achieved",M87)))</formula>
    </cfRule>
    <cfRule type="containsText" dxfId="4044" priority="45" operator="containsText" text="Fully Achieved">
      <formula>NOT(ISERROR(SEARCH("Fully Achieved",M87)))</formula>
    </cfRule>
  </conditionalFormatting>
  <conditionalFormatting sqref="M87">
    <cfRule type="containsText" dxfId="4043" priority="33" operator="containsText" text="Deferred">
      <formula>NOT(ISERROR(SEARCH("Deferred",M87)))</formula>
    </cfRule>
    <cfRule type="containsText" dxfId="4042" priority="34" operator="containsText" text="Deleted">
      <formula>NOT(ISERROR(SEARCH("Deleted",M87)))</formula>
    </cfRule>
    <cfRule type="containsText" dxfId="4041" priority="35" operator="containsText" text="In Danger of Falling Behind Target">
      <formula>NOT(ISERROR(SEARCH("In Danger of Falling Behind Target",M87)))</formula>
    </cfRule>
    <cfRule type="containsText" dxfId="4040" priority="36" operator="containsText" text="Not yet due">
      <formula>NOT(ISERROR(SEARCH("Not yet due",M87)))</formula>
    </cfRule>
  </conditionalFormatting>
  <dataValidations xWindow="1274" yWindow="707" count="2">
    <dataValidation type="list" allowBlank="1" showInputMessage="1" showErrorMessage="1" promptTitle="Is target on track?" prompt="Please choose an option from the drop down list that best describes the current situation for this target." sqref="V4">
      <formula1>$A$143:$A$152</formula1>
    </dataValidation>
    <dataValidation type="list" allowBlank="1" showInputMessage="1" showErrorMessage="1" promptTitle="Is target on track?" prompt="Please choose an option from the drop down list that best describes the current situation for this target." sqref="H65:H86 V5:V63 V65:V86 V88:V123 M4:M123 H4:H63 H88:H123 R4:R123">
      <formula1>$A$161:$A$168</formula1>
    </dataValidation>
  </dataValidations>
  <hyperlinks>
    <hyperlink ref="A1" location="INDEX!A1" display="Back to index"/>
  </hyperlinks>
  <pageMargins left="0.37" right="0.34" top="0.41" bottom="0.31" header="0.31496062992125984" footer="0.31496062992125984"/>
  <pageSetup paperSize="8" scale="44"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sheetPr>
  <dimension ref="A1:AX149"/>
  <sheetViews>
    <sheetView zoomScale="70" zoomScaleNormal="70" workbookViewId="0">
      <pane ySplit="2" topLeftCell="A3" activePane="bottomLeft" state="frozen"/>
      <selection pane="bottomLeft" activeCell="A2" sqref="A2"/>
    </sheetView>
  </sheetViews>
  <sheetFormatPr defaultColWidth="9.140625" defaultRowHeight="15"/>
  <cols>
    <col min="1" max="1" width="12.85546875" style="35" customWidth="1"/>
    <col min="2" max="2" width="43.5703125" style="35" customWidth="1"/>
    <col min="3" max="3" width="28.42578125" style="45" customWidth="1"/>
    <col min="4" max="8" width="30.5703125" style="35" customWidth="1"/>
    <col min="9" max="10" width="30.5703125" style="35" hidden="1" customWidth="1"/>
    <col min="11" max="14" width="9.140625" style="34" customWidth="1"/>
    <col min="15" max="15" width="16.5703125" style="34" hidden="1" customWidth="1"/>
    <col min="16" max="19" width="9.140625" style="34" customWidth="1"/>
    <col min="20" max="20" width="24.85546875" style="34" customWidth="1"/>
    <col min="21" max="25" width="9.140625" style="34" customWidth="1"/>
    <col min="26" max="46" width="9.140625" style="34"/>
    <col min="47" max="16384" width="9.140625" style="35"/>
  </cols>
  <sheetData>
    <row r="1" spans="1:50" s="245" customFormat="1" ht="24" customHeight="1" thickBot="1">
      <c r="A1" s="244" t="s">
        <v>63</v>
      </c>
      <c r="C1" s="246"/>
    </row>
    <row r="2" spans="1:50" s="215" customFormat="1" ht="41.25" thickTop="1">
      <c r="A2" s="221" t="s">
        <v>3</v>
      </c>
      <c r="B2" s="216" t="s">
        <v>0</v>
      </c>
      <c r="C2" s="216" t="s">
        <v>0</v>
      </c>
      <c r="D2" s="217" t="s">
        <v>7</v>
      </c>
      <c r="E2" s="217" t="s">
        <v>10</v>
      </c>
      <c r="F2" s="217" t="s">
        <v>8</v>
      </c>
      <c r="G2" s="217" t="s">
        <v>11</v>
      </c>
      <c r="H2" s="217" t="s">
        <v>9</v>
      </c>
      <c r="I2" s="213" t="s">
        <v>12</v>
      </c>
      <c r="J2" s="213" t="s">
        <v>13</v>
      </c>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row>
    <row r="3" spans="1:50" s="55" customFormat="1" ht="25.5" customHeight="1">
      <c r="A3" s="208" t="s">
        <v>223</v>
      </c>
      <c r="B3" s="222"/>
      <c r="C3" s="210"/>
      <c r="D3" s="209"/>
      <c r="E3" s="209"/>
      <c r="F3" s="174"/>
      <c r="G3" s="159"/>
      <c r="H3" s="159"/>
      <c r="I3" s="159"/>
      <c r="J3" s="159"/>
      <c r="K3" s="153"/>
      <c r="L3" s="153"/>
      <c r="M3" s="153"/>
      <c r="N3" s="153"/>
      <c r="O3" s="154"/>
      <c r="P3" s="153"/>
      <c r="Q3" s="153"/>
      <c r="R3" s="153"/>
      <c r="S3" s="153"/>
      <c r="T3" s="153"/>
      <c r="U3" s="153"/>
      <c r="V3" s="153"/>
      <c r="W3" s="153"/>
      <c r="X3" s="153"/>
      <c r="Y3" s="153"/>
      <c r="Z3" s="153"/>
      <c r="AA3" s="153"/>
      <c r="AB3" s="155"/>
      <c r="AC3" s="156"/>
      <c r="AD3" s="157"/>
      <c r="AE3" s="157"/>
      <c r="AF3" s="157"/>
      <c r="AG3" s="158"/>
      <c r="AH3" s="158"/>
      <c r="AI3" s="158"/>
      <c r="AJ3" s="158"/>
      <c r="AK3" s="158"/>
      <c r="AL3" s="158"/>
      <c r="AM3" s="158"/>
      <c r="AN3" s="158"/>
      <c r="AO3" s="158"/>
      <c r="AP3" s="158"/>
      <c r="AQ3" s="158"/>
      <c r="AR3" s="158"/>
      <c r="AS3" s="158"/>
      <c r="AT3" s="158"/>
      <c r="AU3" s="158"/>
      <c r="AV3" s="158"/>
      <c r="AW3" s="158"/>
      <c r="AX3" s="158"/>
    </row>
    <row r="4" spans="1:50" ht="99.75" customHeight="1" thickBot="1">
      <c r="A4" s="204" t="str">
        <f>'1. ALL DATA'!A5</f>
        <v>VFM01</v>
      </c>
      <c r="B4" s="205" t="str">
        <f>'1. ALL DATA'!C5</f>
        <v>Leisure and Culture Service Delivery Review</v>
      </c>
      <c r="C4" s="206" t="str">
        <f>'1. ALL DATA'!D5</f>
        <v>Procure consultancy support for the delivery of the project 
(May 2017)</v>
      </c>
      <c r="D4" s="207" t="str">
        <f>'1. ALL DATA'!H5</f>
        <v>Fully Achieved</v>
      </c>
      <c r="E4" s="220" t="s">
        <v>243</v>
      </c>
      <c r="F4" s="207" t="str">
        <f>'1. ALL DATA'!M5</f>
        <v>Fully Achieved</v>
      </c>
      <c r="G4" s="220" t="s">
        <v>243</v>
      </c>
      <c r="H4" s="145" t="str">
        <f>'1. ALL DATA'!R5</f>
        <v>Fully Achieved</v>
      </c>
      <c r="I4" s="220"/>
      <c r="J4" s="145" t="str">
        <f>'1. ALL DATA'!V5</f>
        <v>Update not Provided</v>
      </c>
      <c r="O4" s="41" t="s">
        <v>80</v>
      </c>
    </row>
    <row r="5" spans="1:50" ht="99.75" customHeight="1" thickTop="1" thickBot="1">
      <c r="A5" s="204" t="str">
        <f>'1. ALL DATA'!A6</f>
        <v>VFM02</v>
      </c>
      <c r="B5" s="205" t="str">
        <f>'1. ALL DATA'!C6</f>
        <v>Leisure and Culture Service Delivery Review</v>
      </c>
      <c r="C5" s="206" t="str">
        <f>'1. ALL DATA'!D6</f>
        <v>Establish a detailed project delivery plan
(June 2017)</v>
      </c>
      <c r="D5" s="207" t="str">
        <f>'1. ALL DATA'!H6</f>
        <v>Fully Achieved</v>
      </c>
      <c r="E5" s="220" t="s">
        <v>243</v>
      </c>
      <c r="F5" s="207" t="str">
        <f>'1. ALL DATA'!M6</f>
        <v>Fully Achieved</v>
      </c>
      <c r="G5" s="220" t="s">
        <v>243</v>
      </c>
      <c r="H5" s="145" t="str">
        <f>'1. ALL DATA'!R6</f>
        <v>Fully Achieved</v>
      </c>
      <c r="I5" s="397"/>
      <c r="J5" s="145" t="str">
        <f>'1. ALL DATA'!V6</f>
        <v>Update not Provided</v>
      </c>
      <c r="O5" s="41" t="s">
        <v>81</v>
      </c>
      <c r="Y5" s="220" t="s">
        <v>243</v>
      </c>
    </row>
    <row r="6" spans="1:50" ht="99.75" customHeight="1" thickTop="1" thickBot="1">
      <c r="A6" s="204" t="str">
        <f>'1. ALL DATA'!A7</f>
        <v>VFM03</v>
      </c>
      <c r="B6" s="205" t="str">
        <f>'1. ALL DATA'!C7</f>
        <v>Leisure and Culture Service Delivery Review</v>
      </c>
      <c r="C6" s="206" t="str">
        <f>'1. ALL DATA'!D7</f>
        <v>Commence the delivery of the project and provide quarterly updates
(March 2018)</v>
      </c>
      <c r="D6" s="207" t="str">
        <f>'1. ALL DATA'!H7</f>
        <v>On Track to be Achieved</v>
      </c>
      <c r="E6" s="220" t="s">
        <v>243</v>
      </c>
      <c r="F6" s="207" t="str">
        <f>'1. ALL DATA'!M7</f>
        <v>On Track to be Achieved</v>
      </c>
      <c r="G6" s="220" t="s">
        <v>243</v>
      </c>
      <c r="H6" s="145" t="str">
        <f>'1. ALL DATA'!R7</f>
        <v>On Track to be Achieved</v>
      </c>
      <c r="I6" s="220"/>
      <c r="J6" s="145" t="str">
        <f>'1. ALL DATA'!V7</f>
        <v>Update not Provided</v>
      </c>
      <c r="O6" s="41" t="s">
        <v>82</v>
      </c>
      <c r="T6" s="218"/>
      <c r="Y6" s="396" t="s">
        <v>241</v>
      </c>
    </row>
    <row r="7" spans="1:50" ht="111.75" thickTop="1" thickBot="1">
      <c r="A7" s="204" t="str">
        <f>'1. ALL DATA'!A8</f>
        <v>VFM04</v>
      </c>
      <c r="B7" s="205" t="str">
        <f>'1. ALL DATA'!C8</f>
        <v>Brewhouse and Town Hall Developments</v>
      </c>
      <c r="C7" s="206" t="str">
        <f>'1. ALL DATA'!D8</f>
        <v>Undertake a benchmarking and review exercise of the Brewhouse and Town Hall programmes
(November 2017)</v>
      </c>
      <c r="D7" s="207" t="str">
        <f>'1. ALL DATA'!H8</f>
        <v>On Track to be Achieved</v>
      </c>
      <c r="E7" s="220" t="s">
        <v>243</v>
      </c>
      <c r="F7" s="207" t="str">
        <f>'1. ALL DATA'!M8</f>
        <v>On Track to be Achieved</v>
      </c>
      <c r="G7" s="220" t="s">
        <v>243</v>
      </c>
      <c r="H7" s="145" t="str">
        <f>'1. ALL DATA'!R8</f>
        <v>Fully Achieved</v>
      </c>
      <c r="I7" s="220"/>
      <c r="J7" s="145" t="str">
        <f>'1. ALL DATA'!V8</f>
        <v>Update not Provided</v>
      </c>
      <c r="O7" s="42" t="s">
        <v>48</v>
      </c>
      <c r="T7" s="219" t="s">
        <v>241</v>
      </c>
    </row>
    <row r="8" spans="1:50" ht="99.75" customHeight="1" thickTop="1">
      <c r="A8" s="204" t="str">
        <f>'1. ALL DATA'!A9</f>
        <v>VFM05</v>
      </c>
      <c r="B8" s="205" t="str">
        <f>'1. ALL DATA'!C9</f>
        <v>Brewhouse and Town Hall Developments</v>
      </c>
      <c r="C8" s="206" t="str">
        <f>'1. ALL DATA'!D9</f>
        <v>Implement phase 2 of the energy efficiency programme at the Brewhouse
(September 2017)</v>
      </c>
      <c r="D8" s="207" t="str">
        <f>'1. ALL DATA'!H9</f>
        <v>On Track to be Achieved</v>
      </c>
      <c r="E8" s="220" t="s">
        <v>243</v>
      </c>
      <c r="F8" s="207" t="str">
        <f>'1. ALL DATA'!M9</f>
        <v>Fully Achieved</v>
      </c>
      <c r="G8" s="220" t="s">
        <v>243</v>
      </c>
      <c r="H8" s="145" t="str">
        <f>'1. ALL DATA'!R9</f>
        <v>Fully Achieved</v>
      </c>
      <c r="I8" s="220"/>
      <c r="J8" s="145" t="str">
        <f>'1. ALL DATA'!V9</f>
        <v>Update not Provided</v>
      </c>
      <c r="T8" s="219" t="s">
        <v>242</v>
      </c>
    </row>
    <row r="9" spans="1:50" ht="99.75" customHeight="1">
      <c r="A9" s="204" t="str">
        <f>'1. ALL DATA'!A10</f>
        <v>VFM06</v>
      </c>
      <c r="B9" s="205" t="str">
        <f>'1. ALL DATA'!C10</f>
        <v xml:space="preserve">Managing facilities </v>
      </c>
      <c r="C9" s="206" t="str">
        <f>'1. ALL DATA'!D10</f>
        <v>Set out a schedule for implementing condition surveys across the Councils building assets and undertake 3 surveys
(March 2018)</v>
      </c>
      <c r="D9" s="207" t="str">
        <f>'1. ALL DATA'!H10</f>
        <v>On Track to be Achieved</v>
      </c>
      <c r="E9" s="220" t="s">
        <v>243</v>
      </c>
      <c r="F9" s="207" t="str">
        <f>'1. ALL DATA'!M10</f>
        <v>Fully Achieved</v>
      </c>
      <c r="G9" s="220" t="s">
        <v>243</v>
      </c>
      <c r="H9" s="145" t="str">
        <f>'1. ALL DATA'!R10</f>
        <v>Fully Achieved</v>
      </c>
      <c r="I9" s="220"/>
      <c r="J9" s="145" t="str">
        <f>'1. ALL DATA'!V10</f>
        <v>Update not Provided</v>
      </c>
      <c r="T9" s="219" t="s">
        <v>243</v>
      </c>
    </row>
    <row r="10" spans="1:50" ht="99.75" customHeight="1">
      <c r="A10" s="204" t="str">
        <f>'1. ALL DATA'!A11</f>
        <v>VFM07</v>
      </c>
      <c r="B10" s="205" t="str">
        <f>'1. ALL DATA'!C11</f>
        <v>Improve Marketing and Promotions in Cultural Services</v>
      </c>
      <c r="C10" s="206" t="str">
        <f>'1. ALL DATA'!D11</f>
        <v>Implement improvements through the use of customer data to further develop  business and marketing intelligence
(June 2017)</v>
      </c>
      <c r="D10" s="207" t="str">
        <f>'1. ALL DATA'!H11</f>
        <v>Fully Achieved</v>
      </c>
      <c r="E10" s="220" t="s">
        <v>243</v>
      </c>
      <c r="F10" s="207" t="str">
        <f>'1. ALL DATA'!M11</f>
        <v>Fully Achieved</v>
      </c>
      <c r="G10" s="220" t="s">
        <v>243</v>
      </c>
      <c r="H10" s="145" t="str">
        <f>'1. ALL DATA'!R11</f>
        <v>Fully Achieved</v>
      </c>
      <c r="I10" s="220"/>
      <c r="J10" s="145" t="str">
        <f>'1. ALL DATA'!V11</f>
        <v>Update not Provided</v>
      </c>
    </row>
    <row r="11" spans="1:50" ht="99.75" customHeight="1">
      <c r="A11" s="204" t="str">
        <f>'1. ALL DATA'!A12</f>
        <v>VFM08</v>
      </c>
      <c r="B11" s="205" t="str">
        <f>'1. ALL DATA'!C12</f>
        <v>Improve Marketing and Promotions in Cultural Services</v>
      </c>
      <c r="C11" s="206" t="str">
        <f>'1. ALL DATA'!D12</f>
        <v>Develop bespoke marketing plans for each service area and complete 85% of targets set in year 
(March 2018)</v>
      </c>
      <c r="D11" s="207" t="str">
        <f>'1. ALL DATA'!H12</f>
        <v>On Track to be Achieved</v>
      </c>
      <c r="E11" s="220" t="s">
        <v>243</v>
      </c>
      <c r="F11" s="207" t="str">
        <f>'1. ALL DATA'!M12</f>
        <v>On Track to be Achieved</v>
      </c>
      <c r="G11" s="220" t="s">
        <v>243</v>
      </c>
      <c r="H11" s="145" t="str">
        <f>'1. ALL DATA'!R12</f>
        <v>On Track to be Achieved</v>
      </c>
      <c r="I11" s="220"/>
      <c r="J11" s="145" t="str">
        <f>'1. ALL DATA'!V12</f>
        <v>Update not Provided</v>
      </c>
    </row>
    <row r="12" spans="1:50" ht="99.75" customHeight="1">
      <c r="A12" s="204" t="str">
        <f>'1. ALL DATA'!A13</f>
        <v>VFM09</v>
      </c>
      <c r="B12" s="205" t="str">
        <f>'1. ALL DATA'!C13</f>
        <v>Improve Marketing and Promotions in Cultural Services</v>
      </c>
      <c r="C12" s="206" t="str">
        <f>'1. ALL DATA'!D13</f>
        <v>Deliver a minimum of 3 town centre events in conjunction with local sponsors in order to stimulate awareness of ESBC services
(March 2018)</v>
      </c>
      <c r="D12" s="207" t="str">
        <f>'1. ALL DATA'!H13</f>
        <v>On Track to be Achieved</v>
      </c>
      <c r="E12" s="220" t="s">
        <v>243</v>
      </c>
      <c r="F12" s="207" t="str">
        <f>'1. ALL DATA'!M13</f>
        <v>On Track to be Achieved</v>
      </c>
      <c r="G12" s="220" t="s">
        <v>243</v>
      </c>
      <c r="H12" s="145" t="str">
        <f>'1. ALL DATA'!R13</f>
        <v>Fully Achieved</v>
      </c>
      <c r="I12" s="220"/>
      <c r="J12" s="145" t="str">
        <f>'1. ALL DATA'!V13</f>
        <v>Update not Provided</v>
      </c>
    </row>
    <row r="13" spans="1:50" ht="99.75" customHeight="1">
      <c r="A13" s="204" t="str">
        <f>'1. ALL DATA'!A14</f>
        <v>VFM10</v>
      </c>
      <c r="B13" s="205" t="str">
        <f>'1. ALL DATA'!C14</f>
        <v>Minimise the number of missed bin collections</v>
      </c>
      <c r="C13" s="206" t="str">
        <f>'1. ALL DATA'!D14</f>
        <v>1.5 missed bins per 10,000 collections</v>
      </c>
      <c r="D13" s="207" t="str">
        <f>'1. ALL DATA'!H14</f>
        <v>On Track to be Achieved</v>
      </c>
      <c r="E13" s="220" t="s">
        <v>243</v>
      </c>
      <c r="F13" s="207" t="str">
        <f>'1. ALL DATA'!M14</f>
        <v>On Track to be Achieved</v>
      </c>
      <c r="G13" s="220" t="s">
        <v>243</v>
      </c>
      <c r="H13" s="145" t="str">
        <f>'1. ALL DATA'!R14</f>
        <v>On Track to be Achieved</v>
      </c>
      <c r="I13" s="220"/>
      <c r="J13" s="145" t="str">
        <f>'1. ALL DATA'!V14</f>
        <v>Update not Provided</v>
      </c>
    </row>
    <row r="14" spans="1:50" ht="99.75" customHeight="1">
      <c r="A14" s="204" t="str">
        <f>'1. ALL DATA'!A15</f>
        <v>VFM11</v>
      </c>
      <c r="B14" s="205" t="str">
        <f>'1. ALL DATA'!C15</f>
        <v>Deliver a high quality environmental service</v>
      </c>
      <c r="C14" s="206" t="str">
        <f>'1. ALL DATA'!D15</f>
        <v>Resolve 100% of customer requests for repaired or replacement bin requests within 5 working days 
(March 2018)</v>
      </c>
      <c r="D14" s="207" t="str">
        <f>'1. ALL DATA'!H15</f>
        <v>On Track to be Achieved</v>
      </c>
      <c r="E14" s="220" t="s">
        <v>243</v>
      </c>
      <c r="F14" s="207" t="str">
        <f>'1. ALL DATA'!M15</f>
        <v>On Track to be Achieved</v>
      </c>
      <c r="G14" s="220" t="s">
        <v>243</v>
      </c>
      <c r="H14" s="145" t="str">
        <f>'1. ALL DATA'!R15</f>
        <v>On Track to be Achieved</v>
      </c>
      <c r="I14" s="220"/>
      <c r="J14" s="145" t="str">
        <f>'1. ALL DATA'!V15</f>
        <v>Update not Provided</v>
      </c>
    </row>
    <row r="15" spans="1:50" ht="99.75" customHeight="1">
      <c r="A15" s="204" t="str">
        <f>'1. ALL DATA'!A16</f>
        <v>VFM12</v>
      </c>
      <c r="B15" s="205" t="str">
        <f>'1. ALL DATA'!C16</f>
        <v>Deliver a high quality environmental service</v>
      </c>
      <c r="C15" s="206" t="str">
        <f>'1. ALL DATA'!D16</f>
        <v>Complete a waste collection business plan to address growth in the Borough, to seek financial and operating efficiencies
(June 2017)</v>
      </c>
      <c r="D15" s="207" t="str">
        <f>'1. ALL DATA'!H16</f>
        <v>Fully Achieved</v>
      </c>
      <c r="E15" s="220" t="s">
        <v>243</v>
      </c>
      <c r="F15" s="207" t="str">
        <f>'1. ALL DATA'!M16</f>
        <v>Fully Achieved</v>
      </c>
      <c r="G15" s="220" t="s">
        <v>243</v>
      </c>
      <c r="H15" s="145" t="str">
        <f>'1. ALL DATA'!R16</f>
        <v>Fully Achieved</v>
      </c>
      <c r="I15" s="220"/>
      <c r="J15" s="145" t="str">
        <f>'1. ALL DATA'!V16</f>
        <v>Update not Provided</v>
      </c>
    </row>
    <row r="16" spans="1:50" ht="99.75" customHeight="1">
      <c r="A16" s="204" t="str">
        <f>'1. ALL DATA'!A17</f>
        <v>VFM13</v>
      </c>
      <c r="B16" s="205" t="str">
        <f>'1. ALL DATA'!C17</f>
        <v>Maintaining a strong building consultancy service</v>
      </c>
      <c r="C16" s="206" t="str">
        <f>'1. ALL DATA'!D17</f>
        <v>Launch new tariff schedule 
(March 2018)</v>
      </c>
      <c r="D16" s="207" t="str">
        <f>'1. ALL DATA'!H17</f>
        <v>On Track to be Achieved</v>
      </c>
      <c r="E16" s="220" t="s">
        <v>243</v>
      </c>
      <c r="F16" s="207" t="str">
        <f>'1. ALL DATA'!M17</f>
        <v>On Track to be Achieved</v>
      </c>
      <c r="G16" s="220" t="s">
        <v>243</v>
      </c>
      <c r="H16" s="145" t="str">
        <f>'1. ALL DATA'!R17</f>
        <v>Fully Achieved</v>
      </c>
      <c r="I16" s="220"/>
      <c r="J16" s="145" t="str">
        <f>'1. ALL DATA'!V17</f>
        <v>Update not Provided</v>
      </c>
    </row>
    <row r="17" spans="1:10" ht="99.75" customHeight="1">
      <c r="A17" s="204" t="str">
        <f>'1. ALL DATA'!A18</f>
        <v>VFM14</v>
      </c>
      <c r="B17" s="205" t="str">
        <f>'1. ALL DATA'!C18</f>
        <v>Maintaining a strong building consultancy service</v>
      </c>
      <c r="C17" s="206" t="str">
        <f>'1. ALL DATA'!D18</f>
        <v>Ensure that 80% of site inspections are undertaken within 1 day of notification 
(March 2018)</v>
      </c>
      <c r="D17" s="207" t="str">
        <f>'1. ALL DATA'!H18</f>
        <v>On Track to be Achieved</v>
      </c>
      <c r="E17" s="220" t="s">
        <v>243</v>
      </c>
      <c r="F17" s="207" t="str">
        <f>'1. ALL DATA'!M18</f>
        <v>On Track to be Achieved</v>
      </c>
      <c r="G17" s="220" t="s">
        <v>243</v>
      </c>
      <c r="H17" s="145" t="str">
        <f>'1. ALL DATA'!R18</f>
        <v>On Track to be Achieved</v>
      </c>
      <c r="I17" s="220"/>
      <c r="J17" s="145" t="str">
        <f>'1. ALL DATA'!V18</f>
        <v>Update not Provided</v>
      </c>
    </row>
    <row r="18" spans="1:10" ht="99.75" customHeight="1">
      <c r="A18" s="204" t="str">
        <f>'1. ALL DATA'!A19</f>
        <v>VFM15</v>
      </c>
      <c r="B18" s="205" t="str">
        <f>'1. ALL DATA'!C19</f>
        <v>Maintaining a strong building consultancy service</v>
      </c>
      <c r="C18" s="206" t="str">
        <f>'1. ALL DATA'!D19</f>
        <v>Ensure that 70% of plan checking is completed within 15 days of receipt
(March 2018)</v>
      </c>
      <c r="D18" s="207" t="str">
        <f>'1. ALL DATA'!H19</f>
        <v>On Track to be Achieved</v>
      </c>
      <c r="E18" s="220" t="s">
        <v>243</v>
      </c>
      <c r="F18" s="207" t="str">
        <f>'1. ALL DATA'!M19</f>
        <v>On Track to be Achieved</v>
      </c>
      <c r="G18" s="220" t="s">
        <v>243</v>
      </c>
      <c r="H18" s="145" t="str">
        <f>'1. ALL DATA'!R19</f>
        <v>On Track to be Achieved</v>
      </c>
      <c r="I18" s="220"/>
      <c r="J18" s="145" t="str">
        <f>'1. ALL DATA'!V19</f>
        <v>Update not Provided</v>
      </c>
    </row>
    <row r="19" spans="1:10" ht="99.75" customHeight="1">
      <c r="A19" s="204" t="str">
        <f>'1. ALL DATA'!A20</f>
        <v>VFM16</v>
      </c>
      <c r="B19" s="205" t="str">
        <f>'1. ALL DATA'!C20</f>
        <v>Maintaining a strong building consultancy service</v>
      </c>
      <c r="C19" s="206" t="str">
        <f>'1. ALL DATA'!D20</f>
        <v xml:space="preserve">Working with other districts, complete a business plan to introduce a countywide service 
(March 2018) </v>
      </c>
      <c r="D19" s="207" t="str">
        <f>'1. ALL DATA'!H20</f>
        <v>On Track to be Achieved</v>
      </c>
      <c r="E19" s="220" t="s">
        <v>243</v>
      </c>
      <c r="F19" s="207" t="str">
        <f>'1. ALL DATA'!M20</f>
        <v>On Track to be Achieved</v>
      </c>
      <c r="G19" s="220" t="s">
        <v>243</v>
      </c>
      <c r="H19" s="145" t="str">
        <f>'1. ALL DATA'!R20</f>
        <v>On Track to be Achieved</v>
      </c>
      <c r="I19" s="220"/>
      <c r="J19" s="145" t="str">
        <f>'1. ALL DATA'!V20</f>
        <v>Update not Provided</v>
      </c>
    </row>
    <row r="20" spans="1:10" ht="99.75" customHeight="1">
      <c r="A20" s="204" t="str">
        <f>'1. ALL DATA'!A21</f>
        <v>VFM17</v>
      </c>
      <c r="B20" s="205" t="str">
        <f>'1. ALL DATA'!C21</f>
        <v>Continue to improve the ways we provide  Benefits to those most in need:
Time taken to process Benefit new claims and change events (Previously NI 181)</v>
      </c>
      <c r="C20" s="206" t="str">
        <f>'1. ALL DATA'!D21</f>
        <v>9 days</v>
      </c>
      <c r="D20" s="207" t="str">
        <f>'1. ALL DATA'!H21</f>
        <v>On Track to be Achieved</v>
      </c>
      <c r="E20" s="220" t="s">
        <v>243</v>
      </c>
      <c r="F20" s="207" t="str">
        <f>'1. ALL DATA'!M21</f>
        <v>On Track to be Achieved</v>
      </c>
      <c r="G20" s="220" t="s">
        <v>243</v>
      </c>
      <c r="H20" s="145" t="str">
        <f>'1. ALL DATA'!R21</f>
        <v>On Track to be Achieved</v>
      </c>
      <c r="I20" s="220"/>
      <c r="J20" s="145" t="str">
        <f>'1. ALL DATA'!V21</f>
        <v>Update not Provided</v>
      </c>
    </row>
    <row r="21" spans="1:10" ht="99.75" customHeight="1">
      <c r="A21" s="204" t="str">
        <f>'1. ALL DATA'!A22</f>
        <v>VFM18</v>
      </c>
      <c r="B21" s="205" t="str">
        <f>'1. ALL DATA'!C22</f>
        <v>Continue to improve the ways we provide  Benefits to those most in need:
Time taken to process Benefit new claims when all the information has been provided</v>
      </c>
      <c r="C21" s="206" t="str">
        <f>'1. ALL DATA'!D22</f>
        <v>3 days</v>
      </c>
      <c r="D21" s="207" t="str">
        <f>'1. ALL DATA'!H22</f>
        <v>On Track to be Achieved</v>
      </c>
      <c r="E21" s="220" t="s">
        <v>243</v>
      </c>
      <c r="F21" s="207" t="str">
        <f>'1. ALL DATA'!M22</f>
        <v>On Track to be Achieved</v>
      </c>
      <c r="G21" s="220" t="s">
        <v>243</v>
      </c>
      <c r="H21" s="145" t="str">
        <f>'1. ALL DATA'!R22</f>
        <v>On Track to be Achieved</v>
      </c>
      <c r="I21" s="219"/>
      <c r="J21" s="145" t="str">
        <f>'1. ALL DATA'!V22</f>
        <v>Update not Provided</v>
      </c>
    </row>
    <row r="22" spans="1:10" ht="99.75" customHeight="1">
      <c r="A22" s="204" t="str">
        <f>'1. ALL DATA'!A23</f>
        <v>VFM19</v>
      </c>
      <c r="B22" s="205" t="str">
        <f>'1. ALL DATA'!C23</f>
        <v>Continuing to improve customer access to services</v>
      </c>
      <c r="C22" s="206" t="str">
        <f>'1. ALL DATA'!D23</f>
        <v>99% of CSC and telephony team enquiries resolved at first point of contact</v>
      </c>
      <c r="D22" s="207" t="str">
        <f>'1. ALL DATA'!H23</f>
        <v>On Track to be Achieved</v>
      </c>
      <c r="E22" s="220" t="s">
        <v>243</v>
      </c>
      <c r="F22" s="207" t="str">
        <f>'1. ALL DATA'!M23</f>
        <v>On Track to be Achieved</v>
      </c>
      <c r="G22" s="220" t="s">
        <v>243</v>
      </c>
      <c r="H22" s="145" t="str">
        <f>'1. ALL DATA'!R23</f>
        <v>On Track to be Achieved</v>
      </c>
      <c r="I22" s="220"/>
      <c r="J22" s="145" t="str">
        <f>'1. ALL DATA'!V23</f>
        <v>Update not Provided</v>
      </c>
    </row>
    <row r="23" spans="1:10" ht="99.75" customHeight="1">
      <c r="A23" s="204" t="str">
        <f>'1. ALL DATA'!A24</f>
        <v>VFM20</v>
      </c>
      <c r="B23" s="205" t="str">
        <f>'1. ALL DATA'!C24</f>
        <v>Continuing to improve customer access to services</v>
      </c>
      <c r="C23" s="206" t="str">
        <f>'1. ALL DATA'!D24</f>
        <v xml:space="preserve">Minimum 70% Telephony team calls answered within 10 seconds </v>
      </c>
      <c r="D23" s="207" t="str">
        <f>'1. ALL DATA'!H24</f>
        <v>On Track to be Achieved</v>
      </c>
      <c r="E23" s="220" t="s">
        <v>243</v>
      </c>
      <c r="F23" s="207" t="str">
        <f>'1. ALL DATA'!M24</f>
        <v>On Track to be Achieved</v>
      </c>
      <c r="G23" s="220" t="s">
        <v>243</v>
      </c>
      <c r="H23" s="145" t="str">
        <f>'1. ALL DATA'!R24</f>
        <v>On Track to be Achieved</v>
      </c>
      <c r="I23" s="220"/>
      <c r="J23" s="145" t="str">
        <f>'1. ALL DATA'!V24</f>
        <v>Update not Provided</v>
      </c>
    </row>
    <row r="24" spans="1:10" ht="99.75" customHeight="1">
      <c r="A24" s="204" t="str">
        <f>'1. ALL DATA'!A25</f>
        <v>VFM21</v>
      </c>
      <c r="B24" s="205" t="str">
        <f>'1. ALL DATA'!C25</f>
        <v>Working towards the roll-out of Universal Credit</v>
      </c>
      <c r="C24" s="206" t="str">
        <f>'1. ALL DATA'!D25</f>
        <v xml:space="preserve">Continue to prepare for roll-out in accordance with Government guidelines  </v>
      </c>
      <c r="D24" s="207" t="str">
        <f>'1. ALL DATA'!H25</f>
        <v>Not yet due</v>
      </c>
      <c r="E24" s="397" t="s">
        <v>48</v>
      </c>
      <c r="F24" s="207" t="str">
        <f>'1. ALL DATA'!M25</f>
        <v>On Track to be Achieved</v>
      </c>
      <c r="G24" s="220" t="s">
        <v>243</v>
      </c>
      <c r="H24" s="145" t="str">
        <f>'1. ALL DATA'!R25</f>
        <v>On Track to be Achieved</v>
      </c>
      <c r="I24" s="220"/>
      <c r="J24" s="145" t="str">
        <f>'1. ALL DATA'!V25</f>
        <v>Update not Provided</v>
      </c>
    </row>
    <row r="25" spans="1:10" ht="99.75" customHeight="1">
      <c r="A25" s="204" t="str">
        <f>'1. ALL DATA'!A26</f>
        <v>VFM22</v>
      </c>
      <c r="B25" s="205" t="str">
        <f>'1. ALL DATA'!C26</f>
        <v>Working towards the reduction of Claimant error Housing Benefit Overpayments (HBOPs): 
a) % of HBOPs overpayments recovered during the year; 
b) % of HBOPS processed and on payment arrangement</v>
      </c>
      <c r="C25" s="206" t="str">
        <f>'1. ALL DATA'!D26</f>
        <v>a) 70%
b) 80%</v>
      </c>
      <c r="D25" s="207" t="str">
        <f>'1. ALL DATA'!H26</f>
        <v>On Track to be Achieved</v>
      </c>
      <c r="E25" s="220" t="s">
        <v>243</v>
      </c>
      <c r="F25" s="207" t="str">
        <f>'1. ALL DATA'!M26</f>
        <v>On Track to be Achieved</v>
      </c>
      <c r="G25" s="220" t="s">
        <v>243</v>
      </c>
      <c r="H25" s="145" t="str">
        <f>'1. ALL DATA'!R26</f>
        <v>On Track to be Achieved</v>
      </c>
      <c r="I25" s="397"/>
      <c r="J25" s="145" t="str">
        <f>'1. ALL DATA'!V26</f>
        <v>Update not Provided</v>
      </c>
    </row>
    <row r="26" spans="1:10" ht="99.75" customHeight="1">
      <c r="A26" s="204" t="str">
        <f>'1. ALL DATA'!A27</f>
        <v>VFM23</v>
      </c>
      <c r="B26" s="205" t="str">
        <f>'1. ALL DATA'!C27</f>
        <v xml:space="preserve">Continue to maximise income through effective collection processes 
(Previously BV 9 &amp; 10) </v>
      </c>
      <c r="C26" s="206" t="str">
        <f>'1. ALL DATA'!D27</f>
        <v>Collection Rates of -
a) Council Tax : 98% 
b) NNDR : 99%</v>
      </c>
      <c r="D26" s="207" t="str">
        <f>'1. ALL DATA'!H27</f>
        <v>On Track to be Achieved</v>
      </c>
      <c r="E26" s="220" t="s">
        <v>243</v>
      </c>
      <c r="F26" s="207" t="str">
        <f>'1. ALL DATA'!M27</f>
        <v>On Track to be Achieved</v>
      </c>
      <c r="G26" s="220" t="s">
        <v>243</v>
      </c>
      <c r="H26" s="145" t="str">
        <f>'1. ALL DATA'!R27</f>
        <v>On Track to be Achieved</v>
      </c>
      <c r="I26" s="220"/>
      <c r="J26" s="145" t="str">
        <f>'1. ALL DATA'!V27</f>
        <v>Update not Provided</v>
      </c>
    </row>
    <row r="27" spans="1:10" ht="99.75" customHeight="1">
      <c r="A27" s="204" t="str">
        <f>'1. ALL DATA'!A28</f>
        <v>VFM24</v>
      </c>
      <c r="B27" s="205" t="str">
        <f>'1. ALL DATA'!C28</f>
        <v>Continue to maximise income through effective collection processes
Reduce Former Years Arrears for:
a) Council Tax; 
b) NNDR; 
c) Sundry Debts</v>
      </c>
      <c r="C27" s="206" t="str">
        <f>'1. ALL DATA'!D28</f>
        <v>a) £1,8000,000
b) £500,000
c) £40,000</v>
      </c>
      <c r="D27" s="207" t="str">
        <f>'1. ALL DATA'!H28</f>
        <v>On Track to be Achieved</v>
      </c>
      <c r="E27" s="220" t="s">
        <v>243</v>
      </c>
      <c r="F27" s="207" t="str">
        <f>'1. ALL DATA'!M28</f>
        <v>On Track to be Achieved</v>
      </c>
      <c r="G27" s="219" t="s">
        <v>241</v>
      </c>
      <c r="H27" s="145" t="str">
        <f>'1. ALL DATA'!R28</f>
        <v>In Danger of Falling Behind Target</v>
      </c>
      <c r="I27" s="220"/>
      <c r="J27" s="145" t="str">
        <f>'1. ALL DATA'!V28</f>
        <v>Update not Provided</v>
      </c>
    </row>
    <row r="28" spans="1:10" ht="99.75" customHeight="1">
      <c r="A28" s="204" t="str">
        <f>'1. ALL DATA'!A29</f>
        <v>VFM25</v>
      </c>
      <c r="B28" s="205" t="str">
        <f>'1. ALL DATA'!C29</f>
        <v xml:space="preserve">Maintain and improve the District Auditor's opinion of the authority </v>
      </c>
      <c r="C28" s="206" t="str">
        <f>'1. ALL DATA'!D29</f>
        <v>Achieve unqualified opinions on:
a) Statement of Accounts with minimal errors; 
b) In relation to Value for Money</v>
      </c>
      <c r="D28" s="207" t="str">
        <f>'1. ALL DATA'!H29</f>
        <v>On Track to be Achieved</v>
      </c>
      <c r="E28" s="220" t="s">
        <v>243</v>
      </c>
      <c r="F28" s="207" t="str">
        <f>'1. ALL DATA'!M29</f>
        <v>Fully Achieved</v>
      </c>
      <c r="G28" s="220" t="s">
        <v>243</v>
      </c>
      <c r="H28" s="145" t="str">
        <f>'1. ALL DATA'!R29</f>
        <v>Fully Achieved</v>
      </c>
      <c r="I28" s="220"/>
      <c r="J28" s="145" t="str">
        <f>'1. ALL DATA'!V29</f>
        <v>Update not Provided</v>
      </c>
    </row>
    <row r="29" spans="1:10" ht="99.75" customHeight="1">
      <c r="A29" s="204" t="str">
        <f>'1. ALL DATA'!A30</f>
        <v>VFM26</v>
      </c>
      <c r="B29" s="205" t="str">
        <f>'1. ALL DATA'!C30</f>
        <v>Set budget for 2018/19</v>
      </c>
      <c r="C29" s="206" t="str">
        <f>'1. ALL DATA'!D30</f>
        <v>Set budget for Council approval  
(February 2018)</v>
      </c>
      <c r="D29" s="207" t="str">
        <f>'1. ALL DATA'!H30</f>
        <v>Not yet due</v>
      </c>
      <c r="E29" s="397" t="s">
        <v>48</v>
      </c>
      <c r="F29" s="207" t="str">
        <f>'1. ALL DATA'!M30</f>
        <v>On Track to be Achieved</v>
      </c>
      <c r="G29" s="220" t="s">
        <v>243</v>
      </c>
      <c r="H29" s="145" t="str">
        <f>'1. ALL DATA'!R30</f>
        <v>On Track to be Achieved</v>
      </c>
      <c r="I29" s="220"/>
      <c r="J29" s="145" t="str">
        <f>'1. ALL DATA'!V30</f>
        <v>Update not Provided</v>
      </c>
    </row>
    <row r="30" spans="1:10" ht="99.75" customHeight="1">
      <c r="A30" s="204" t="str">
        <f>'1. ALL DATA'!A31</f>
        <v>VFM27</v>
      </c>
      <c r="B30" s="205" t="str">
        <f>'1. ALL DATA'!C31</f>
        <v xml:space="preserve">Improve Finance awareness with Members  </v>
      </c>
      <c r="C30" s="206" t="str">
        <f>'1. ALL DATA'!D31</f>
        <v>At least 2 briefings delivered to elected members during the year 
(March 2018)</v>
      </c>
      <c r="D30" s="207" t="str">
        <f>'1. ALL DATA'!H31</f>
        <v>Not yet due</v>
      </c>
      <c r="E30" s="397" t="s">
        <v>48</v>
      </c>
      <c r="F30" s="207" t="str">
        <f>'1. ALL DATA'!M31</f>
        <v>Not yet due</v>
      </c>
      <c r="G30" s="397" t="s">
        <v>48</v>
      </c>
      <c r="H30" s="145" t="str">
        <f>'1. ALL DATA'!R31</f>
        <v>On Track to be Achieved</v>
      </c>
      <c r="I30" s="220"/>
      <c r="J30" s="145" t="str">
        <f>'1. ALL DATA'!V31</f>
        <v>Update not Provided</v>
      </c>
    </row>
    <row r="31" spans="1:10" ht="99.75" customHeight="1">
      <c r="A31" s="204" t="str">
        <f>'1. ALL DATA'!A32</f>
        <v>VFM28</v>
      </c>
      <c r="B31" s="205" t="str">
        <f>'1. ALL DATA'!C32</f>
        <v>Continuing to improve the value for money of Council services</v>
      </c>
      <c r="C31" s="206" t="str">
        <f>'1. ALL DATA'!D32</f>
        <v>Achieve savings targets as stated in the Medium Term Financial Strategy 
(March 2018)</v>
      </c>
      <c r="D31" s="207" t="str">
        <f>'1. ALL DATA'!H32</f>
        <v>Not yet due</v>
      </c>
      <c r="E31" s="397" t="s">
        <v>48</v>
      </c>
      <c r="F31" s="207" t="str">
        <f>'1. ALL DATA'!M32</f>
        <v>On Track to be Achieved</v>
      </c>
      <c r="G31" s="220" t="s">
        <v>243</v>
      </c>
      <c r="H31" s="145" t="str">
        <f>'1. ALL DATA'!R32</f>
        <v>On Track to be Achieved</v>
      </c>
      <c r="I31" s="220"/>
      <c r="J31" s="145" t="str">
        <f>'1. ALL DATA'!V32</f>
        <v>Update not Provided</v>
      </c>
    </row>
    <row r="32" spans="1:10" ht="99.75" customHeight="1">
      <c r="A32" s="204" t="str">
        <f>'1. ALL DATA'!A33</f>
        <v>VFM29</v>
      </c>
      <c r="B32" s="205" t="str">
        <f>'1. ALL DATA'!C33</f>
        <v>Continuing to Improve the Value for Money of Council Services</v>
      </c>
      <c r="C32" s="206" t="str">
        <f>'1. ALL DATA'!D33</f>
        <v xml:space="preserve">Introduce Council Tax Penalties
(April 2017)                                                       </v>
      </c>
      <c r="D32" s="207" t="str">
        <f>'1. ALL DATA'!H33</f>
        <v>Fully Achieved</v>
      </c>
      <c r="E32" s="220" t="s">
        <v>243</v>
      </c>
      <c r="F32" s="207" t="str">
        <f>'1. ALL DATA'!M33</f>
        <v>Fully Achieved</v>
      </c>
      <c r="G32" s="220" t="s">
        <v>243</v>
      </c>
      <c r="H32" s="145" t="str">
        <f>'1. ALL DATA'!R33</f>
        <v>Fully Achieved</v>
      </c>
      <c r="I32" s="220"/>
      <c r="J32" s="145" t="str">
        <f>'1. ALL DATA'!V33</f>
        <v>Update not Provided</v>
      </c>
    </row>
    <row r="33" spans="1:10" ht="99.75" customHeight="1">
      <c r="A33" s="204" t="str">
        <f>'1. ALL DATA'!A34</f>
        <v>VFM30</v>
      </c>
      <c r="B33" s="205" t="str">
        <f>'1. ALL DATA'!C34</f>
        <v>Continuing to Improve the Value for Money of Council Services</v>
      </c>
      <c r="C33" s="206" t="str">
        <f>'1. ALL DATA'!D34</f>
        <v xml:space="preserve">Review Court Costs for Council Tax and Business Rates 
(September 2017)                                                       </v>
      </c>
      <c r="D33" s="207" t="str">
        <f>'1. ALL DATA'!H34</f>
        <v>Not yet due</v>
      </c>
      <c r="E33" s="397" t="s">
        <v>48</v>
      </c>
      <c r="F33" s="207" t="str">
        <f>'1. ALL DATA'!M34</f>
        <v>Fully Achieved</v>
      </c>
      <c r="G33" s="220" t="s">
        <v>243</v>
      </c>
      <c r="H33" s="145" t="str">
        <f>'1. ALL DATA'!R34</f>
        <v>Fully Achieved</v>
      </c>
      <c r="I33" s="220"/>
      <c r="J33" s="145" t="str">
        <f>'1. ALL DATA'!V34</f>
        <v>Update not Provided</v>
      </c>
    </row>
    <row r="34" spans="1:10" ht="99.75" customHeight="1">
      <c r="A34" s="204" t="str">
        <f>'1. ALL DATA'!A35</f>
        <v>VFM31</v>
      </c>
      <c r="B34" s="205" t="str">
        <f>'1. ALL DATA'!C35</f>
        <v>Continuing to Improve the Value for Money of Council Services</v>
      </c>
      <c r="C34" s="206" t="str">
        <f>'1. ALL DATA'!D35</f>
        <v xml:space="preserve">Review Recovery and Write-Off Policies 
(September 2017)                                                       </v>
      </c>
      <c r="D34" s="207" t="str">
        <f>'1. ALL DATA'!H35</f>
        <v>Not yet due</v>
      </c>
      <c r="E34" s="397" t="s">
        <v>48</v>
      </c>
      <c r="F34" s="207" t="str">
        <f>'1. ALL DATA'!M35</f>
        <v>Fully Achieved</v>
      </c>
      <c r="G34" s="220" t="s">
        <v>243</v>
      </c>
      <c r="H34" s="145" t="str">
        <f>'1. ALL DATA'!R35</f>
        <v>Fully Achieved</v>
      </c>
      <c r="I34" s="220"/>
      <c r="J34" s="145" t="str">
        <f>'1. ALL DATA'!V35</f>
        <v>Update not Provided</v>
      </c>
    </row>
    <row r="35" spans="1:10" ht="99.75" customHeight="1">
      <c r="A35" s="204" t="str">
        <f>'1. ALL DATA'!A36</f>
        <v>VFM32</v>
      </c>
      <c r="B35" s="205" t="str">
        <f>'1. ALL DATA'!C36</f>
        <v>Continuing to Improve the Value for Money of Council Services</v>
      </c>
      <c r="C35" s="206" t="str">
        <f>'1. ALL DATA'!D36</f>
        <v xml:space="preserve">Review Council Tax Support Scheme
(June 2017)                                                       
                                                                                                </v>
      </c>
      <c r="D35" s="207" t="str">
        <f>'1. ALL DATA'!H36</f>
        <v>Fully Achieved</v>
      </c>
      <c r="E35" s="220" t="s">
        <v>243</v>
      </c>
      <c r="F35" s="207" t="str">
        <f>'1. ALL DATA'!M36</f>
        <v>Fully Achieved</v>
      </c>
      <c r="G35" s="220" t="s">
        <v>243</v>
      </c>
      <c r="H35" s="145" t="str">
        <f>'1. ALL DATA'!R36</f>
        <v>Fully Achieved</v>
      </c>
      <c r="I35" s="220"/>
      <c r="J35" s="145" t="str">
        <f>'1. ALL DATA'!V36</f>
        <v>Update not Provided</v>
      </c>
    </row>
    <row r="36" spans="1:10" ht="99.75" customHeight="1">
      <c r="A36" s="204" t="str">
        <f>'1. ALL DATA'!A37</f>
        <v>VFM33</v>
      </c>
      <c r="B36" s="205" t="str">
        <f>'1. ALL DATA'!C37</f>
        <v>Continuing to Improve the Value for Money of Council Services</v>
      </c>
      <c r="C36" s="206" t="str">
        <f>'1. ALL DATA'!D37</f>
        <v xml:space="preserve">Consider alternative Treasury Management opportunities
(December 2017)                                                                                                           </v>
      </c>
      <c r="D36" s="207" t="str">
        <f>'1. ALL DATA'!H37</f>
        <v>Not yet due</v>
      </c>
      <c r="E36" s="397" t="s">
        <v>48</v>
      </c>
      <c r="F36" s="207" t="str">
        <f>'1. ALL DATA'!M37</f>
        <v>On Track to be Achieved</v>
      </c>
      <c r="G36" s="220" t="s">
        <v>243</v>
      </c>
      <c r="H36" s="145" t="str">
        <f>'1. ALL DATA'!R37</f>
        <v>Fully Achieved</v>
      </c>
      <c r="I36" s="220"/>
      <c r="J36" s="145" t="str">
        <f>'1. ALL DATA'!V37</f>
        <v>Update not Provided</v>
      </c>
    </row>
    <row r="37" spans="1:10" ht="99.75" customHeight="1">
      <c r="A37" s="204" t="str">
        <f>'1. ALL DATA'!A38</f>
        <v>VFM34</v>
      </c>
      <c r="B37" s="205" t="str">
        <f>'1. ALL DATA'!C38</f>
        <v>Continuing to improve the value for money of Council services</v>
      </c>
      <c r="C37" s="206" t="str">
        <f>'1. ALL DATA'!D38</f>
        <v>Review of Partnership Arrangement
(December 2017)</v>
      </c>
      <c r="D37" s="207" t="str">
        <f>'1. ALL DATA'!H38</f>
        <v>Not yet due</v>
      </c>
      <c r="E37" s="397" t="s">
        <v>48</v>
      </c>
      <c r="F37" s="207" t="str">
        <f>'1. ALL DATA'!M38</f>
        <v>On Track to be Achieved</v>
      </c>
      <c r="G37" s="220" t="s">
        <v>243</v>
      </c>
      <c r="H37" s="145" t="str">
        <f>'1. ALL DATA'!R38</f>
        <v>Fully Achieved</v>
      </c>
      <c r="I37" s="220"/>
      <c r="J37" s="145" t="str">
        <f>'1. ALL DATA'!V38</f>
        <v>Update not Provided</v>
      </c>
    </row>
    <row r="38" spans="1:10" ht="99.75" customHeight="1">
      <c r="A38" s="204" t="str">
        <f>'1. ALL DATA'!A39</f>
        <v>VFM35</v>
      </c>
      <c r="B38" s="205" t="str">
        <f>'1. ALL DATA'!C39</f>
        <v>Continuing to improve the value for money of Council services</v>
      </c>
      <c r="C38" s="206" t="str">
        <f>'1. ALL DATA'!D39</f>
        <v>Review pre-planning and other related charges 
(December 2017)</v>
      </c>
      <c r="D38" s="207" t="str">
        <f>'1. ALL DATA'!H39</f>
        <v>On Track to be Achieved</v>
      </c>
      <c r="E38" s="220" t="s">
        <v>243</v>
      </c>
      <c r="F38" s="207" t="str">
        <f>'1. ALL DATA'!M39</f>
        <v>On Track to be Achieved</v>
      </c>
      <c r="G38" s="220" t="s">
        <v>243</v>
      </c>
      <c r="H38" s="145" t="str">
        <f>'1. ALL DATA'!R39</f>
        <v>Fully Achieved</v>
      </c>
      <c r="I38" s="220"/>
      <c r="J38" s="145" t="str">
        <f>'1. ALL DATA'!V39</f>
        <v>Update not Provided</v>
      </c>
    </row>
    <row r="39" spans="1:10" ht="99.75" customHeight="1">
      <c r="A39" s="204" t="str">
        <f>'1. ALL DATA'!A40</f>
        <v>VFM36</v>
      </c>
      <c r="B39" s="205" t="str">
        <f>'1. ALL DATA'!C40</f>
        <v>Continuing to improve the value for money of Council services</v>
      </c>
      <c r="C39" s="206" t="str">
        <f>'1. ALL DATA'!D40</f>
        <v>Carry out procurement for Multi-Functional Devices 
(December 2017)</v>
      </c>
      <c r="D39" s="207" t="str">
        <f>'1. ALL DATA'!H40</f>
        <v>Not yet due</v>
      </c>
      <c r="E39" s="397" t="s">
        <v>48</v>
      </c>
      <c r="F39" s="207" t="str">
        <f>'1. ALL DATA'!M40</f>
        <v>Not yet due</v>
      </c>
      <c r="G39" s="397" t="s">
        <v>48</v>
      </c>
      <c r="H39" s="145" t="str">
        <f>'1. ALL DATA'!R40</f>
        <v>Fully Achieved</v>
      </c>
      <c r="I39" s="220"/>
      <c r="J39" s="145" t="str">
        <f>'1. ALL DATA'!V40</f>
        <v>Update not Provided</v>
      </c>
    </row>
    <row r="40" spans="1:10" ht="99.75" customHeight="1">
      <c r="A40" s="204" t="str">
        <f>'1. ALL DATA'!A41</f>
        <v>VFM37</v>
      </c>
      <c r="B40" s="205" t="str">
        <f>'1. ALL DATA'!C41</f>
        <v>Continuing to improve the value for money of Council services</v>
      </c>
      <c r="C40" s="206" t="str">
        <f>'1. ALL DATA'!D41</f>
        <v>Introduce category management 
(March 2018)</v>
      </c>
      <c r="D40" s="207" t="str">
        <f>'1. ALL DATA'!H41</f>
        <v>Not yet due</v>
      </c>
      <c r="E40" s="397" t="s">
        <v>48</v>
      </c>
      <c r="F40" s="207" t="str">
        <f>'1. ALL DATA'!M41</f>
        <v>Not yet due</v>
      </c>
      <c r="G40" s="397" t="s">
        <v>48</v>
      </c>
      <c r="H40" s="145" t="str">
        <f>'1. ALL DATA'!R41</f>
        <v>On Track to be Achieved</v>
      </c>
      <c r="I40" s="220"/>
      <c r="J40" s="145" t="str">
        <f>'1. ALL DATA'!V41</f>
        <v>Update not Provided</v>
      </c>
    </row>
    <row r="41" spans="1:10" ht="99.75" customHeight="1">
      <c r="A41" s="204" t="str">
        <f>'1. ALL DATA'!A42</f>
        <v>VFM38</v>
      </c>
      <c r="B41" s="205" t="str">
        <f>'1. ALL DATA'!C42</f>
        <v>Continuing to improve the value for money of Council services</v>
      </c>
      <c r="C41" s="206" t="str">
        <f>'1. ALL DATA'!D42</f>
        <v xml:space="preserve">Implement new procedures for procurement of consumables
(June 2017) </v>
      </c>
      <c r="D41" s="207" t="str">
        <f>'1. ALL DATA'!H42</f>
        <v>Fully Achieved</v>
      </c>
      <c r="E41" s="220" t="s">
        <v>243</v>
      </c>
      <c r="F41" s="207" t="str">
        <f>'1. ALL DATA'!M42</f>
        <v>Fully Achieved</v>
      </c>
      <c r="G41" s="220" t="s">
        <v>243</v>
      </c>
      <c r="H41" s="145" t="str">
        <f>'1. ALL DATA'!R42</f>
        <v>Fully Achieved</v>
      </c>
      <c r="I41" s="397"/>
      <c r="J41" s="145" t="str">
        <f>'1. ALL DATA'!V42</f>
        <v>Update not Provided</v>
      </c>
    </row>
    <row r="42" spans="1:10" ht="99.75" customHeight="1">
      <c r="A42" s="204" t="str">
        <f>'1. ALL DATA'!A43</f>
        <v>VFM39</v>
      </c>
      <c r="B42" s="205" t="str">
        <f>'1. ALL DATA'!C43</f>
        <v>Continuing to improve the value for money of Council services</v>
      </c>
      <c r="C42" s="206" t="str">
        <f>'1. ALL DATA'!D43</f>
        <v>Consider opportunities for savings in printing and postage 
(March 2018)</v>
      </c>
      <c r="D42" s="207" t="str">
        <f>'1. ALL DATA'!H43</f>
        <v>Not yet due</v>
      </c>
      <c r="E42" s="397" t="s">
        <v>48</v>
      </c>
      <c r="F42" s="207" t="str">
        <f>'1. ALL DATA'!M43</f>
        <v>On Track to be Achieved</v>
      </c>
      <c r="G42" s="220" t="s">
        <v>243</v>
      </c>
      <c r="H42" s="145" t="str">
        <f>'1. ALL DATA'!R43</f>
        <v>Fully Achieved</v>
      </c>
      <c r="I42" s="220"/>
      <c r="J42" s="145" t="str">
        <f>'1. ALL DATA'!V43</f>
        <v>Update not Provided</v>
      </c>
    </row>
    <row r="43" spans="1:10" ht="99.75" customHeight="1">
      <c r="A43" s="204" t="str">
        <f>'1. ALL DATA'!A44</f>
        <v>VFM40</v>
      </c>
      <c r="B43" s="205" t="str">
        <f>'1. ALL DATA'!C44</f>
        <v>Continuing to improve the value for money of Council services</v>
      </c>
      <c r="C43" s="206" t="str">
        <f>'1. ALL DATA'!D44</f>
        <v>90% satisfaction with the corporate contribution to the strategic leisure management project and accommodation review project
(March 2018)</v>
      </c>
      <c r="D43" s="207" t="str">
        <f>'1. ALL DATA'!H44</f>
        <v>Not yet due</v>
      </c>
      <c r="E43" s="397" t="s">
        <v>48</v>
      </c>
      <c r="F43" s="207" t="str">
        <f>'1. ALL DATA'!M44</f>
        <v>Not yet due</v>
      </c>
      <c r="G43" s="397" t="s">
        <v>48</v>
      </c>
      <c r="H43" s="145" t="str">
        <f>'1. ALL DATA'!R44</f>
        <v>Not yet due</v>
      </c>
      <c r="I43" s="220"/>
      <c r="J43" s="145" t="str">
        <f>'1. ALL DATA'!V44</f>
        <v>Update not Provided</v>
      </c>
    </row>
    <row r="44" spans="1:10" ht="99.75" customHeight="1">
      <c r="A44" s="204" t="str">
        <f>'1. ALL DATA'!A45</f>
        <v>VFM41</v>
      </c>
      <c r="B44" s="205" t="str">
        <f>'1. ALL DATA'!C45</f>
        <v>To engage proactively with professional groups and constructively respond to Government consultations regarding the establishment of the new local government finance regime</v>
      </c>
      <c r="C44" s="206" t="str">
        <f>'1. ALL DATA'!D45</f>
        <v xml:space="preserve">Activities throughout the year reported in line with the timed responses 
(March 2018)                                                       </v>
      </c>
      <c r="D44" s="207" t="str">
        <f>'1. ALL DATA'!H45</f>
        <v>On Track to be Achieved</v>
      </c>
      <c r="E44" s="220" t="s">
        <v>243</v>
      </c>
      <c r="F44" s="207" t="str">
        <f>'1. ALL DATA'!M45</f>
        <v>On Track to be Achieved</v>
      </c>
      <c r="G44" s="220" t="s">
        <v>243</v>
      </c>
      <c r="H44" s="145" t="str">
        <f>'1. ALL DATA'!R45</f>
        <v>On Track to be Achieved</v>
      </c>
      <c r="I44" s="220"/>
      <c r="J44" s="145" t="str">
        <f>'1. ALL DATA'!V45</f>
        <v>Update not Provided</v>
      </c>
    </row>
    <row r="45" spans="1:10" ht="99.75" customHeight="1">
      <c r="A45" s="204" t="str">
        <f>'1. ALL DATA'!A46</f>
        <v>VFM42</v>
      </c>
      <c r="B45" s="205" t="str">
        <f>'1. ALL DATA'!C46</f>
        <v>Increasing Staffing Availability Through Reduced Sickness</v>
      </c>
      <c r="C45" s="206" t="str">
        <f>'1. ALL DATA'!D46</f>
        <v>Short term sickness days average under 2.95 days</v>
      </c>
      <c r="D45" s="207" t="str">
        <f>'1. ALL DATA'!H46</f>
        <v>On Track to be Achieved</v>
      </c>
      <c r="E45" s="220" t="s">
        <v>243</v>
      </c>
      <c r="F45" s="207" t="str">
        <f>'1. ALL DATA'!M46</f>
        <v>On Track to be Achieved</v>
      </c>
      <c r="G45" s="220" t="s">
        <v>243</v>
      </c>
      <c r="H45" s="145" t="str">
        <f>'1. ALL DATA'!R46</f>
        <v>On Track to be Achieved</v>
      </c>
      <c r="I45" s="220"/>
      <c r="J45" s="145" t="str">
        <f>'1. ALL DATA'!V46</f>
        <v>Update not Provided</v>
      </c>
    </row>
    <row r="46" spans="1:10" ht="99.75" customHeight="1">
      <c r="A46" s="204" t="str">
        <f>'1. ALL DATA'!A47</f>
        <v>VFM43</v>
      </c>
      <c r="B46" s="205" t="str">
        <f>'1. ALL DATA'!C47</f>
        <v xml:space="preserve">Improve On The Average Time To Pay Creditors </v>
      </c>
      <c r="C46" s="206" t="str">
        <f>'1. ALL DATA'!D47</f>
        <v>13 days</v>
      </c>
      <c r="D46" s="207" t="str">
        <f>'1. ALL DATA'!H47</f>
        <v>On Track to be Achieved</v>
      </c>
      <c r="E46" s="220" t="s">
        <v>243</v>
      </c>
      <c r="F46" s="207" t="str">
        <f>'1. ALL DATA'!M47</f>
        <v>On Track to be Achieved</v>
      </c>
      <c r="G46" s="220" t="s">
        <v>243</v>
      </c>
      <c r="H46" s="145" t="str">
        <f>'1. ALL DATA'!R47</f>
        <v>On Track to be Achieved</v>
      </c>
      <c r="I46" s="220"/>
      <c r="J46" s="145" t="str">
        <f>'1. ALL DATA'!V47</f>
        <v>Update not Provided</v>
      </c>
    </row>
    <row r="47" spans="1:10" ht="99.75" customHeight="1">
      <c r="A47" s="204" t="str">
        <f>'1. ALL DATA'!A48</f>
        <v>VFM44</v>
      </c>
      <c r="B47" s="205" t="str">
        <f>'1. ALL DATA'!C48</f>
        <v>Accommodation Review</v>
      </c>
      <c r="C47" s="206" t="str">
        <f>'1. ALL DATA'!D48</f>
        <v>Establish a project programme plan and commence delivery 
(June 2017)</v>
      </c>
      <c r="D47" s="207" t="str">
        <f>'1. ALL DATA'!H48</f>
        <v>Fully Achieved</v>
      </c>
      <c r="E47" s="220" t="s">
        <v>243</v>
      </c>
      <c r="F47" s="207" t="str">
        <f>'1. ALL DATA'!M48</f>
        <v>Fully Achieved</v>
      </c>
      <c r="G47" s="220" t="s">
        <v>243</v>
      </c>
      <c r="H47" s="145" t="str">
        <f>'1. ALL DATA'!R48</f>
        <v>Fully Achieved</v>
      </c>
      <c r="I47" s="220"/>
      <c r="J47" s="145" t="str">
        <f>'1. ALL DATA'!V48</f>
        <v>Update not Provided</v>
      </c>
    </row>
    <row r="48" spans="1:10" ht="99.75" customHeight="1">
      <c r="A48" s="204" t="str">
        <f>'1. ALL DATA'!A49</f>
        <v>VFM45</v>
      </c>
      <c r="B48" s="205" t="str">
        <f>'1. ALL DATA'!C49</f>
        <v xml:space="preserve">Accommodation Review </v>
      </c>
      <c r="C48" s="206" t="str">
        <f>'1. ALL DATA'!D49</f>
        <v>Complete the accommodation works 
(March 2018)</v>
      </c>
      <c r="D48" s="207" t="str">
        <f>'1. ALL DATA'!H49</f>
        <v>Not yet due</v>
      </c>
      <c r="E48" s="397" t="s">
        <v>48</v>
      </c>
      <c r="F48" s="207" t="str">
        <f>'1. ALL DATA'!M49</f>
        <v>On Track to be Achieved</v>
      </c>
      <c r="G48" s="220" t="s">
        <v>243</v>
      </c>
      <c r="H48" s="145" t="str">
        <f>'1. ALL DATA'!R49</f>
        <v>On Track to be Achieved</v>
      </c>
      <c r="I48" s="220"/>
      <c r="J48" s="145" t="str">
        <f>'1. ALL DATA'!V49</f>
        <v>Update not Provided</v>
      </c>
    </row>
    <row r="49" spans="1:47" ht="99.75" customHeight="1">
      <c r="A49" s="204" t="str">
        <f>'1. ALL DATA'!A50</f>
        <v>VFM46</v>
      </c>
      <c r="B49" s="205" t="str">
        <f>'1. ALL DATA'!C50</f>
        <v>Improve Council Scrutiny Arrangements</v>
      </c>
      <c r="C49" s="206" t="str">
        <f>'1. ALL DATA'!D50</f>
        <v>Report to Council with recommendations
(June 2017)</v>
      </c>
      <c r="D49" s="207" t="str">
        <f>'1. ALL DATA'!H50</f>
        <v>Fully Achieved</v>
      </c>
      <c r="E49" s="220" t="s">
        <v>243</v>
      </c>
      <c r="F49" s="207" t="str">
        <f>'1. ALL DATA'!M50</f>
        <v>Fully Achieved</v>
      </c>
      <c r="G49" s="220" t="s">
        <v>243</v>
      </c>
      <c r="H49" s="145" t="str">
        <f>'1. ALL DATA'!R50</f>
        <v>Fully Achieved</v>
      </c>
      <c r="I49" s="220"/>
      <c r="J49" s="145" t="str">
        <f>'1. ALL DATA'!V50</f>
        <v>Update not Provided</v>
      </c>
    </row>
    <row r="50" spans="1:47" ht="99.75" customHeight="1">
      <c r="A50" s="204" t="str">
        <f>'1. ALL DATA'!A51</f>
        <v>VFM47</v>
      </c>
      <c r="B50" s="205" t="str">
        <f>'1. ALL DATA'!C51</f>
        <v>Implement the new Neighbourhood Fund</v>
      </c>
      <c r="C50" s="206" t="str">
        <f>'1. ALL DATA'!D51</f>
        <v>Establish the Neighbourhood Fund and support up to 4 projects and report on progress by quarter 
(March 2018)</v>
      </c>
      <c r="D50" s="207" t="str">
        <f>'1. ALL DATA'!H51</f>
        <v>On Track to be Achieved</v>
      </c>
      <c r="E50" s="220" t="s">
        <v>243</v>
      </c>
      <c r="F50" s="207" t="str">
        <f>'1. ALL DATA'!M51</f>
        <v>On Track to be Achieved</v>
      </c>
      <c r="G50" s="220" t="s">
        <v>243</v>
      </c>
      <c r="H50" s="145" t="str">
        <f>'1. ALL DATA'!R51</f>
        <v>On Track to be Achieved</v>
      </c>
      <c r="I50" s="220"/>
      <c r="J50" s="145" t="str">
        <f>'1. ALL DATA'!V51</f>
        <v>Update not Provided</v>
      </c>
    </row>
    <row r="51" spans="1:47" ht="99.75" customHeight="1">
      <c r="A51" s="204" t="str">
        <f>'1. ALL DATA'!A52</f>
        <v>VFM48</v>
      </c>
      <c r="B51" s="205" t="str">
        <f>'1. ALL DATA'!C52</f>
        <v>Implement the new Neighbourhood Fund</v>
      </c>
      <c r="C51" s="206" t="str">
        <f>'1. ALL DATA'!D52</f>
        <v>Undertake a review of the Neighbourhood Fund after 12 months of operation
(March 2018)</v>
      </c>
      <c r="D51" s="207" t="str">
        <f>'1. ALL DATA'!H52</f>
        <v>Not yet due</v>
      </c>
      <c r="E51" s="397" t="s">
        <v>48</v>
      </c>
      <c r="F51" s="207" t="str">
        <f>'1. ALL DATA'!M52</f>
        <v>Not yet due</v>
      </c>
      <c r="G51" s="397" t="s">
        <v>48</v>
      </c>
      <c r="H51" s="145" t="str">
        <f>'1. ALL DATA'!R52</f>
        <v>Not yet due</v>
      </c>
      <c r="I51" s="220"/>
      <c r="J51" s="145" t="str">
        <f>'1. ALL DATA'!V52</f>
        <v>Update not Provided</v>
      </c>
    </row>
    <row r="52" spans="1:47" ht="99.75" customHeight="1">
      <c r="A52" s="204" t="str">
        <f>'1. ALL DATA'!A53</f>
        <v>VFM49</v>
      </c>
      <c r="B52" s="205" t="str">
        <f>'1. ALL DATA'!C53</f>
        <v>Delivering the Councillors Community Fund (CCF)</v>
      </c>
      <c r="C52" s="206" t="str">
        <f>'1. ALL DATA'!D53</f>
        <v>Brief elected members on the CCF scheme and its operation 
(May 2017)</v>
      </c>
      <c r="D52" s="207" t="str">
        <f>'1. ALL DATA'!H53</f>
        <v>Fully Achieved</v>
      </c>
      <c r="E52" s="220" t="s">
        <v>243</v>
      </c>
      <c r="F52" s="207" t="str">
        <f>'1. ALL DATA'!M53</f>
        <v>Fully Achieved</v>
      </c>
      <c r="G52" s="220" t="s">
        <v>243</v>
      </c>
      <c r="H52" s="145" t="str">
        <f>'1. ALL DATA'!R53</f>
        <v>Fully Achieved</v>
      </c>
      <c r="I52" s="220"/>
      <c r="J52" s="145" t="str">
        <f>'1. ALL DATA'!V53</f>
        <v>Update not Provided</v>
      </c>
    </row>
    <row r="53" spans="1:47" ht="99.75" customHeight="1">
      <c r="A53" s="204" t="str">
        <f>'1. ALL DATA'!A54</f>
        <v>VFM50</v>
      </c>
      <c r="B53" s="205" t="str">
        <f>'1. ALL DATA'!C54</f>
        <v>Delivering the Councillors Community Fund (CCF)</v>
      </c>
      <c r="C53" s="206" t="str">
        <f>'1. ALL DATA'!D54</f>
        <v>Raise the public profile of CCF/NF projects through a variety of promotional initiatives
(March 2018)</v>
      </c>
      <c r="D53" s="207" t="str">
        <f>'1. ALL DATA'!H54</f>
        <v>On Track to be Achieved</v>
      </c>
      <c r="E53" s="220" t="s">
        <v>243</v>
      </c>
      <c r="F53" s="207" t="str">
        <f>'1. ALL DATA'!M54</f>
        <v>On Track to be Achieved</v>
      </c>
      <c r="G53" s="220" t="s">
        <v>243</v>
      </c>
      <c r="H53" s="145" t="str">
        <f>'1. ALL DATA'!R54</f>
        <v>On Track to be Achieved</v>
      </c>
      <c r="I53" s="220"/>
      <c r="J53" s="145" t="str">
        <f>'1. ALL DATA'!V54</f>
        <v>Update not Provided</v>
      </c>
    </row>
    <row r="54" spans="1:47" ht="99.75" customHeight="1">
      <c r="A54" s="204" t="str">
        <f>'1. ALL DATA'!A55</f>
        <v>VFM51</v>
      </c>
      <c r="B54" s="205" t="str">
        <f>'1. ALL DATA'!C55</f>
        <v>Commissioning Services</v>
      </c>
      <c r="C54" s="206" t="str">
        <f>'1. ALL DATA'!D55</f>
        <v>Consider conservation services with South Derbyshire District Council 
(September 2017)</v>
      </c>
      <c r="D54" s="207" t="str">
        <f>'1. ALL DATA'!H55</f>
        <v>On Track to be Achieved</v>
      </c>
      <c r="E54" s="220" t="s">
        <v>243</v>
      </c>
      <c r="F54" s="207" t="str">
        <f>'1. ALL DATA'!M55</f>
        <v>Fully Achieved</v>
      </c>
      <c r="G54" s="220" t="s">
        <v>243</v>
      </c>
      <c r="H54" s="145" t="str">
        <f>'1. ALL DATA'!R55</f>
        <v>Fully Achieved</v>
      </c>
      <c r="I54" s="220"/>
      <c r="J54" s="145" t="str">
        <f>'1. ALL DATA'!V55</f>
        <v>Update not Provided</v>
      </c>
    </row>
    <row r="55" spans="1:47" ht="94.5">
      <c r="A55" s="204" t="str">
        <f>'1. ALL DATA'!A56</f>
        <v>VFM52</v>
      </c>
      <c r="B55" s="205" t="str">
        <f>'1. ALL DATA'!C56</f>
        <v>Providing a secure virtual working environment</v>
      </c>
      <c r="C55" s="206" t="str">
        <f>'1. ALL DATA'!D56</f>
        <v>Achieve GCHQ PSN Compliance for access to the Government Secure Intranet 
(December 2017)</v>
      </c>
      <c r="D55" s="207" t="str">
        <f>'1. ALL DATA'!H56</f>
        <v>Not yet due</v>
      </c>
      <c r="E55" s="397" t="s">
        <v>48</v>
      </c>
      <c r="F55" s="207" t="str">
        <f>'1. ALL DATA'!M56</f>
        <v>Not yet due</v>
      </c>
      <c r="G55" s="397" t="s">
        <v>48</v>
      </c>
      <c r="H55" s="145" t="str">
        <f>'1. ALL DATA'!R56</f>
        <v>Fully Achieved</v>
      </c>
      <c r="I55" s="220"/>
      <c r="J55" s="145" t="str">
        <f>'1. ALL DATA'!V56</f>
        <v>Update not Provided</v>
      </c>
    </row>
    <row r="56" spans="1:47" ht="99.75" customHeight="1">
      <c r="A56" s="204" t="str">
        <f>'1. ALL DATA'!A57</f>
        <v>VFM53</v>
      </c>
      <c r="B56" s="205" t="str">
        <f>'1. ALL DATA'!C57</f>
        <v>Delivering the SMART Borough agenda</v>
      </c>
      <c r="C56" s="206" t="str">
        <f>'1. ALL DATA'!D57</f>
        <v>E-Services take-up targets:
a) Council Tax Accounts: 1,500
b) Business Rate Accounts: 250
c) Benefit Claimants: 150</v>
      </c>
      <c r="D56" s="207" t="str">
        <f>'1. ALL DATA'!H57</f>
        <v>On Track to be Achieved</v>
      </c>
      <c r="E56" s="220" t="s">
        <v>243</v>
      </c>
      <c r="F56" s="207" t="str">
        <f>'1. ALL DATA'!M57</f>
        <v>On Track to be Achieved</v>
      </c>
      <c r="G56" s="220" t="s">
        <v>243</v>
      </c>
      <c r="H56" s="145" t="str">
        <f>'1. ALL DATA'!R57</f>
        <v>On Track to be Achieved</v>
      </c>
      <c r="I56" s="220"/>
      <c r="J56" s="145" t="str">
        <f>'1. ALL DATA'!V57</f>
        <v>Update not Provided</v>
      </c>
    </row>
    <row r="57" spans="1:47" ht="99.75" customHeight="1">
      <c r="A57" s="204" t="str">
        <f>'1. ALL DATA'!A58</f>
        <v>VFM54</v>
      </c>
      <c r="B57" s="205" t="str">
        <f>'1. ALL DATA'!C58</f>
        <v>Permits on Council-owned car parks</v>
      </c>
      <c r="C57" s="206" t="str">
        <f>'1. ALL DATA'!D58</f>
        <v>Conduct a review of existing tariff, and recommend new tariff 
(July 2017)</v>
      </c>
      <c r="D57" s="207" t="str">
        <f>'1. ALL DATA'!H58</f>
        <v>Fully Achieved</v>
      </c>
      <c r="E57" s="220" t="s">
        <v>243</v>
      </c>
      <c r="F57" s="207" t="str">
        <f>'1. ALL DATA'!M58</f>
        <v>Fully Achieved</v>
      </c>
      <c r="G57" s="220" t="s">
        <v>243</v>
      </c>
      <c r="H57" s="145" t="str">
        <f>'1. ALL DATA'!R58</f>
        <v>Fully Achieved</v>
      </c>
      <c r="I57" s="220"/>
      <c r="J57" s="145" t="str">
        <f>'1. ALL DATA'!V58</f>
        <v>Update not Provided</v>
      </c>
      <c r="AU57" s="34"/>
    </row>
    <row r="58" spans="1:47" s="161" customFormat="1" ht="87.75">
      <c r="A58" s="204" t="str">
        <f>'1. ALL DATA'!A59</f>
        <v>VFM55</v>
      </c>
      <c r="B58" s="205" t="str">
        <f>'1. ALL DATA'!C59</f>
        <v>Permits on Council-owned car parks</v>
      </c>
      <c r="C58" s="206" t="str">
        <f>'1. ALL DATA'!D59</f>
        <v>Complete options report of payment methods 
(July 2017)</v>
      </c>
      <c r="D58" s="207" t="str">
        <f>'1. ALL DATA'!H59</f>
        <v>Fully Achieved</v>
      </c>
      <c r="E58" s="220" t="s">
        <v>243</v>
      </c>
      <c r="F58" s="207" t="str">
        <f>'1. ALL DATA'!M59</f>
        <v>Fully Achieved</v>
      </c>
      <c r="G58" s="220" t="s">
        <v>243</v>
      </c>
      <c r="H58" s="145" t="str">
        <f>'1. ALL DATA'!R59</f>
        <v>Fully Achieved</v>
      </c>
      <c r="I58" s="220"/>
      <c r="J58" s="145" t="str">
        <f>'1. ALL DATA'!V59</f>
        <v>Update not Provided</v>
      </c>
      <c r="K58" s="162"/>
      <c r="L58" s="162"/>
      <c r="M58" s="162"/>
      <c r="N58" s="163"/>
      <c r="O58" s="164"/>
      <c r="P58" s="164"/>
      <c r="Q58" s="164"/>
      <c r="R58" s="164"/>
      <c r="S58" s="165"/>
      <c r="T58" s="162"/>
      <c r="U58" s="162"/>
      <c r="V58" s="162"/>
      <c r="W58" s="162"/>
      <c r="X58" s="166"/>
      <c r="Y58" s="166"/>
      <c r="Z58" s="166"/>
      <c r="AA58" s="166"/>
      <c r="AB58" s="160"/>
      <c r="AC58" s="156"/>
      <c r="AD58" s="167"/>
      <c r="AE58" s="167"/>
      <c r="AF58" s="167"/>
      <c r="AG58" s="167"/>
      <c r="AH58" s="167"/>
      <c r="AI58" s="167"/>
      <c r="AJ58" s="167"/>
      <c r="AK58" s="167"/>
      <c r="AL58" s="167"/>
      <c r="AM58" s="167"/>
      <c r="AN58" s="167"/>
      <c r="AO58" s="167"/>
      <c r="AP58" s="167"/>
      <c r="AQ58" s="167"/>
      <c r="AR58" s="167"/>
      <c r="AS58" s="167"/>
      <c r="AT58" s="167"/>
      <c r="AU58" s="167"/>
    </row>
    <row r="59" spans="1:47" ht="99.75" customHeight="1">
      <c r="A59" s="204" t="str">
        <f>'1. ALL DATA'!A60</f>
        <v>VFM56</v>
      </c>
      <c r="B59" s="205" t="str">
        <f>'1. ALL DATA'!C60</f>
        <v>Car park improvements</v>
      </c>
      <c r="C59" s="206" t="str">
        <f>'1. ALL DATA'!D60</f>
        <v>Produce a viability plan to improve car park payment methods on Coopers Square and The Maltings 
(July 2017)</v>
      </c>
      <c r="D59" s="207" t="str">
        <f>'1. ALL DATA'!H60</f>
        <v>Fully Achieved</v>
      </c>
      <c r="E59" s="220" t="s">
        <v>243</v>
      </c>
      <c r="F59" s="207" t="str">
        <f>'1. ALL DATA'!M60</f>
        <v>Fully Achieved</v>
      </c>
      <c r="G59" s="220" t="s">
        <v>243</v>
      </c>
      <c r="H59" s="145" t="str">
        <f>'1. ALL DATA'!R60</f>
        <v>Fully Achieved</v>
      </c>
      <c r="I59" s="220"/>
      <c r="J59" s="145" t="str">
        <f>'1. ALL DATA'!V60</f>
        <v>Update not Provided</v>
      </c>
    </row>
    <row r="60" spans="1:47" ht="99.75" customHeight="1">
      <c r="A60" s="204" t="str">
        <f>'1. ALL DATA'!A61</f>
        <v>VFM57</v>
      </c>
      <c r="B60" s="205" t="str">
        <f>'1. ALL DATA'!C61</f>
        <v>Replacement Car Park Ticket Machines &amp; Electric Car Charging facility</v>
      </c>
      <c r="C60" s="206" t="str">
        <f>'1. ALL DATA'!D61</f>
        <v>Procure new machines, with cashless payment facility 
(November 2017)</v>
      </c>
      <c r="D60" s="207" t="str">
        <f>'1. ALL DATA'!H61</f>
        <v>On Track to be Achieved</v>
      </c>
      <c r="E60" s="220" t="s">
        <v>243</v>
      </c>
      <c r="F60" s="207" t="str">
        <f>'1. ALL DATA'!M61</f>
        <v>On Track to be Achieved</v>
      </c>
      <c r="G60" s="220" t="s">
        <v>243</v>
      </c>
      <c r="H60" s="145" t="str">
        <f>'1. ALL DATA'!R61</f>
        <v>Fully Achieved</v>
      </c>
      <c r="I60" s="220"/>
      <c r="J60" s="145" t="str">
        <f>'1. ALL DATA'!V61</f>
        <v>Update not Provided</v>
      </c>
    </row>
    <row r="61" spans="1:47" ht="99.75" customHeight="1">
      <c r="A61" s="204" t="str">
        <f>'1. ALL DATA'!A62</f>
        <v>VFM58</v>
      </c>
      <c r="B61" s="205" t="str">
        <f>'1. ALL DATA'!C62</f>
        <v>More Efficient Disabled Facility Grants (DFGs) Processing</v>
      </c>
      <c r="C61" s="206" t="str">
        <f>'1. ALL DATA'!D62</f>
        <v>Working with the County Council, and other districts, agree a method to deliver DFGs in a more efficient way, that benefits the customer 
(March 2018)</v>
      </c>
      <c r="D61" s="207" t="str">
        <f>'1. ALL DATA'!H62</f>
        <v>On Track to be Achieved</v>
      </c>
      <c r="E61" s="220" t="s">
        <v>243</v>
      </c>
      <c r="F61" s="207" t="str">
        <f>'1. ALL DATA'!M62</f>
        <v>On Track to be Achieved</v>
      </c>
      <c r="G61" s="220" t="s">
        <v>243</v>
      </c>
      <c r="H61" s="145" t="str">
        <f>'1. ALL DATA'!R62</f>
        <v>On Track to be Achieved</v>
      </c>
      <c r="I61" s="220"/>
      <c r="J61" s="145" t="str">
        <f>'1. ALL DATA'!V62</f>
        <v>Update not Provided</v>
      </c>
    </row>
    <row r="62" spans="1:47" ht="99.75" customHeight="1">
      <c r="A62" s="204" t="str">
        <f>'1. ALL DATA'!A63</f>
        <v>VFM59</v>
      </c>
      <c r="B62" s="291" t="str">
        <f>'1. ALL DATA'!C63</f>
        <v>Mobile working arrangements for Staff</v>
      </c>
      <c r="C62" s="292" t="str">
        <f>'1. ALL DATA'!D63</f>
        <v>Produce a plan to introduce mobile working where it is appropriate to do so
(November 2017)</v>
      </c>
      <c r="D62" s="293" t="str">
        <f>'1. ALL DATA'!H63</f>
        <v>Not yet due</v>
      </c>
      <c r="E62" s="397" t="s">
        <v>48</v>
      </c>
      <c r="F62" s="293" t="str">
        <f>'1. ALL DATA'!M63</f>
        <v>On Track to be Achieved</v>
      </c>
      <c r="G62" s="220" t="s">
        <v>243</v>
      </c>
      <c r="H62" s="211" t="str">
        <f>'1. ALL DATA'!R63</f>
        <v>Fully Achieved</v>
      </c>
      <c r="I62" s="418"/>
      <c r="J62" s="211" t="str">
        <f>'1. ALL DATA'!V63</f>
        <v>Update not Provided</v>
      </c>
    </row>
    <row r="63" spans="1:47" s="427" customFormat="1" ht="25.5" hidden="1" customHeight="1">
      <c r="A63" s="420" t="str">
        <f>'1. ALL DATA'!A64</f>
        <v>Promoting Local Economic Growth - To Benefit Local People by Turning Aspiration into Reality</v>
      </c>
      <c r="B63" s="421"/>
      <c r="C63" s="422"/>
      <c r="D63" s="423"/>
      <c r="E63" s="424"/>
      <c r="F63" s="423"/>
      <c r="G63" s="424"/>
      <c r="H63" s="423"/>
      <c r="I63" s="424"/>
      <c r="J63" s="425"/>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6"/>
      <c r="AL63" s="426"/>
      <c r="AM63" s="426"/>
      <c r="AN63" s="426"/>
      <c r="AO63" s="426"/>
      <c r="AP63" s="426"/>
      <c r="AQ63" s="426"/>
      <c r="AR63" s="426"/>
      <c r="AS63" s="426"/>
      <c r="AT63" s="426"/>
    </row>
    <row r="64" spans="1:47" ht="99.75" hidden="1" customHeight="1">
      <c r="A64" s="204" t="str">
        <f>'1. ALL DATA'!A65</f>
        <v>PLEG01</v>
      </c>
      <c r="B64" s="205" t="str">
        <f>'1. ALL DATA'!C65</f>
        <v>Market Hall Business Developments Initiatives</v>
      </c>
      <c r="C64" s="206" t="str">
        <f>'1. ALL DATA'!D65</f>
        <v xml:space="preserve">Improve and develop all aspects of the Market Hall operation, including: trader / tenant mix arrangements; trader business unit proposal documents; revised tariff schedules 
(December 2017) </v>
      </c>
      <c r="D64" s="207" t="str">
        <f>'1. ALL DATA'!H65</f>
        <v>On Track to be Achieved</v>
      </c>
      <c r="E64" s="220" t="s">
        <v>243</v>
      </c>
      <c r="F64" s="207" t="str">
        <f>'1. ALL DATA'!M65</f>
        <v>Fully Achieved</v>
      </c>
      <c r="G64" s="220" t="s">
        <v>243</v>
      </c>
      <c r="H64" s="207" t="str">
        <f>'1. ALL DATA'!R65</f>
        <v>Fully Achieved</v>
      </c>
      <c r="I64" s="419"/>
      <c r="J64" s="207" t="str">
        <f>'1. ALL DATA'!V65</f>
        <v>Update not Provided</v>
      </c>
    </row>
    <row r="65" spans="1:10" ht="99.75" hidden="1" customHeight="1">
      <c r="A65" s="204" t="str">
        <f>'1. ALL DATA'!A66</f>
        <v>PLEG02</v>
      </c>
      <c r="B65" s="205" t="str">
        <f>'1. ALL DATA'!C66</f>
        <v>Market Hall Business Developments Initiatives</v>
      </c>
      <c r="C65" s="206" t="str">
        <f>'1. ALL DATA'!D66</f>
        <v>Explore options for the use of digital technology in collecting rent payments
(July 2017)</v>
      </c>
      <c r="D65" s="207" t="str">
        <f>'1. ALL DATA'!H66</f>
        <v>Fully Achieved</v>
      </c>
      <c r="E65" s="220" t="s">
        <v>243</v>
      </c>
      <c r="F65" s="207" t="str">
        <f>'1. ALL DATA'!M66</f>
        <v>Fully Achieved</v>
      </c>
      <c r="G65" s="220" t="s">
        <v>243</v>
      </c>
      <c r="H65" s="145" t="str">
        <f>'1. ALL DATA'!R66</f>
        <v>Fully Achieved</v>
      </c>
      <c r="I65" s="219"/>
      <c r="J65" s="145" t="str">
        <f>'1. ALL DATA'!V66</f>
        <v>Update not Provided</v>
      </c>
    </row>
    <row r="66" spans="1:10" ht="99.75" hidden="1" customHeight="1">
      <c r="A66" s="204" t="str">
        <f>'1. ALL DATA'!A67</f>
        <v>PLEG03</v>
      </c>
      <c r="B66" s="205" t="str">
        <f>'1. ALL DATA'!C67</f>
        <v>Market Hall Business Developments Initiatives</v>
      </c>
      <c r="C66" s="206" t="str">
        <f>'1. ALL DATA'!D67</f>
        <v>Hold at least 20 commercial events during the year
(March 2018)</v>
      </c>
      <c r="D66" s="207" t="str">
        <f>'1. ALL DATA'!H67</f>
        <v>On Track to be Achieved</v>
      </c>
      <c r="E66" s="220" t="s">
        <v>243</v>
      </c>
      <c r="F66" s="207" t="str">
        <f>'1. ALL DATA'!M67</f>
        <v>On Track to be Achieved</v>
      </c>
      <c r="G66" s="220" t="s">
        <v>243</v>
      </c>
      <c r="H66" s="145" t="str">
        <f>'1. ALL DATA'!R67</f>
        <v>Fully Achieved</v>
      </c>
      <c r="I66" s="220"/>
      <c r="J66" s="145" t="str">
        <f>'1. ALL DATA'!V67</f>
        <v>Update not Provided</v>
      </c>
    </row>
    <row r="67" spans="1:10" ht="99.75" hidden="1" customHeight="1">
      <c r="A67" s="204" t="str">
        <f>'1. ALL DATA'!A68</f>
        <v>PLEG04</v>
      </c>
      <c r="B67" s="205" t="str">
        <f>'1. ALL DATA'!C68</f>
        <v>Market Hall Business Developments Initiatives</v>
      </c>
      <c r="C67" s="206" t="str">
        <f>'1. ALL DATA'!D68</f>
        <v>Achieve occupancy levels of 80% and above
(March 2018)</v>
      </c>
      <c r="D67" s="207" t="str">
        <f>'1. ALL DATA'!H68</f>
        <v>On Track to be Achieved</v>
      </c>
      <c r="E67" s="220" t="s">
        <v>243</v>
      </c>
      <c r="F67" s="207" t="str">
        <f>'1. ALL DATA'!M68</f>
        <v>On Track to be Achieved</v>
      </c>
      <c r="G67" s="220" t="s">
        <v>243</v>
      </c>
      <c r="H67" s="145" t="str">
        <f>'1. ALL DATA'!R68</f>
        <v>On Track to be Achieved</v>
      </c>
      <c r="I67" s="220"/>
      <c r="J67" s="145" t="str">
        <f>'1. ALL DATA'!V68</f>
        <v>Update not Provided</v>
      </c>
    </row>
    <row r="68" spans="1:10" ht="99.75" hidden="1" customHeight="1">
      <c r="A68" s="204" t="str">
        <f>'1. ALL DATA'!A69</f>
        <v>PLEG05</v>
      </c>
      <c r="B68" s="205" t="str">
        <f>'1. ALL DATA'!C69</f>
        <v>Deliver a Self-Build Scheme</v>
      </c>
      <c r="C68" s="206" t="str">
        <f>'1. ALL DATA'!D69</f>
        <v>Complete marketing of opportunity, with a shortlist of interested purchasers 
(May 2017)</v>
      </c>
      <c r="D68" s="207" t="str">
        <f>'1. ALL DATA'!H69</f>
        <v>Fully Achieved</v>
      </c>
      <c r="E68" s="220" t="s">
        <v>243</v>
      </c>
      <c r="F68" s="207" t="str">
        <f>'1. ALL DATA'!M69</f>
        <v>Fully Achieved</v>
      </c>
      <c r="G68" s="220" t="s">
        <v>243</v>
      </c>
      <c r="H68" s="145" t="str">
        <f>'1. ALL DATA'!R69</f>
        <v>Fully Achieved</v>
      </c>
      <c r="I68" s="220"/>
      <c r="J68" s="145" t="str">
        <f>'1. ALL DATA'!V69</f>
        <v>Update not Provided</v>
      </c>
    </row>
    <row r="69" spans="1:10" ht="99.75" hidden="1" customHeight="1">
      <c r="A69" s="204" t="str">
        <f>'1. ALL DATA'!A70</f>
        <v>PLEG06</v>
      </c>
      <c r="B69" s="205" t="str">
        <f>'1. ALL DATA'!C70</f>
        <v>Finalise Options for Lynwood Road Site</v>
      </c>
      <c r="C69" s="206" t="str">
        <f>'1. ALL DATA'!D70</f>
        <v xml:space="preserve">Complete Ecological Surveys 
(September 2017
</v>
      </c>
      <c r="D69" s="207" t="str">
        <f>'1. ALL DATA'!H70</f>
        <v>Fully Achieved</v>
      </c>
      <c r="E69" s="220" t="s">
        <v>243</v>
      </c>
      <c r="F69" s="207" t="str">
        <f>'1. ALL DATA'!M70</f>
        <v>Fully Achieved</v>
      </c>
      <c r="G69" s="220" t="s">
        <v>243</v>
      </c>
      <c r="H69" s="145" t="str">
        <f>'1. ALL DATA'!R70</f>
        <v>Fully Achieved</v>
      </c>
      <c r="I69" s="220"/>
      <c r="J69" s="145" t="str">
        <f>'1. ALL DATA'!V70</f>
        <v>Update not Provided</v>
      </c>
    </row>
    <row r="70" spans="1:10" ht="99.75" hidden="1" customHeight="1">
      <c r="A70" s="204" t="str">
        <f>'1. ALL DATA'!A71</f>
        <v>PLEG07</v>
      </c>
      <c r="B70" s="205" t="str">
        <f>'1. ALL DATA'!C71</f>
        <v>Finalise Options for Lynwood Road Site</v>
      </c>
      <c r="C70" s="206" t="str">
        <f>'1. ALL DATA'!D71</f>
        <v>Submit Planning Application 
(October 2017)</v>
      </c>
      <c r="D70" s="207" t="str">
        <f>'1. ALL DATA'!H71</f>
        <v>On Track to be Achieved</v>
      </c>
      <c r="E70" s="220" t="s">
        <v>243</v>
      </c>
      <c r="F70" s="207" t="str">
        <f>'1. ALL DATA'!M71</f>
        <v>On Track to be Achieved</v>
      </c>
      <c r="G70" s="220" t="s">
        <v>243</v>
      </c>
      <c r="H70" s="145" t="str">
        <f>'1. ALL DATA'!R71</f>
        <v>Fully Achieved</v>
      </c>
      <c r="I70" s="220"/>
      <c r="J70" s="145" t="str">
        <f>'1. ALL DATA'!V71</f>
        <v>Update not Provided</v>
      </c>
    </row>
    <row r="71" spans="1:10" ht="99.75" hidden="1" customHeight="1">
      <c r="A71" s="204" t="str">
        <f>'1. ALL DATA'!A72</f>
        <v>PLEG08</v>
      </c>
      <c r="B71" s="205" t="str">
        <f>'1. ALL DATA'!C72</f>
        <v>Finalise Options for Lynwood Road Site</v>
      </c>
      <c r="C71" s="206" t="str">
        <f>'1. ALL DATA'!D72</f>
        <v>Identify a Preferred Developer 
(March 2018)</v>
      </c>
      <c r="D71" s="207" t="str">
        <f>'1. ALL DATA'!H72</f>
        <v>Not yet due</v>
      </c>
      <c r="E71" s="397" t="s">
        <v>48</v>
      </c>
      <c r="F71" s="207" t="str">
        <f>'1. ALL DATA'!M72</f>
        <v>Not yet due</v>
      </c>
      <c r="G71" s="397" t="s">
        <v>48</v>
      </c>
      <c r="H71" s="145" t="str">
        <f>'1. ALL DATA'!R72</f>
        <v>Not yet due</v>
      </c>
      <c r="I71" s="220"/>
      <c r="J71" s="145" t="str">
        <f>'1. ALL DATA'!V72</f>
        <v>Update not Provided</v>
      </c>
    </row>
    <row r="72" spans="1:10" ht="99.75" hidden="1" customHeight="1">
      <c r="A72" s="204" t="str">
        <f>'1. ALL DATA'!A73</f>
        <v>PLEG09</v>
      </c>
      <c r="B72" s="205" t="str">
        <f>'1. ALL DATA'!C73</f>
        <v>Deliver a Self-Build Scheme</v>
      </c>
      <c r="C72" s="206" t="str">
        <f>'1. ALL DATA'!D73</f>
        <v>Complete plot disposal of phase 1 (deadline to be agreed in year, following planning)</v>
      </c>
      <c r="D72" s="207" t="str">
        <f>'1. ALL DATA'!H73</f>
        <v>Deleted</v>
      </c>
      <c r="E72" s="397" t="s">
        <v>48</v>
      </c>
      <c r="F72" s="207" t="str">
        <f>'1. ALL DATA'!M73</f>
        <v>Deleted</v>
      </c>
      <c r="G72" s="397" t="s">
        <v>48</v>
      </c>
      <c r="H72" s="145" t="str">
        <f>'1. ALL DATA'!R73</f>
        <v>Deleted</v>
      </c>
      <c r="I72" s="220"/>
      <c r="J72" s="145" t="str">
        <f>'1. ALL DATA'!V73</f>
        <v>Update not Provided</v>
      </c>
    </row>
    <row r="73" spans="1:10" ht="99.75" hidden="1" customHeight="1">
      <c r="A73" s="204" t="str">
        <f>'1. ALL DATA'!A74</f>
        <v>PLEG10</v>
      </c>
      <c r="B73" s="205" t="str">
        <f>'1. ALL DATA'!C74</f>
        <v>Deliver a Mixed-Use Scheme at Bargates</v>
      </c>
      <c r="C73" s="206" t="str">
        <f>'1. ALL DATA'!D74</f>
        <v>Target(s) to be agreed in year, following planning)</v>
      </c>
      <c r="D73" s="207" t="str">
        <f>'1. ALL DATA'!H74</f>
        <v>Not yet due</v>
      </c>
      <c r="E73" s="397" t="s">
        <v>48</v>
      </c>
      <c r="F73" s="207" t="str">
        <f>'1. ALL DATA'!M74</f>
        <v>Not yet due</v>
      </c>
      <c r="G73" s="397" t="s">
        <v>48</v>
      </c>
      <c r="H73" s="145" t="str">
        <f>'1. ALL DATA'!R74</f>
        <v>Not yet due</v>
      </c>
      <c r="I73" s="220"/>
      <c r="J73" s="145" t="str">
        <f>'1. ALL DATA'!V74</f>
        <v>Update not Provided</v>
      </c>
    </row>
    <row r="74" spans="1:10" ht="99.75" hidden="1" customHeight="1">
      <c r="A74" s="204" t="str">
        <f>'1. ALL DATA'!A75</f>
        <v>PLEG11</v>
      </c>
      <c r="B74" s="205" t="str">
        <f>'1. ALL DATA'!C75</f>
        <v>Brownfield Regeneration</v>
      </c>
      <c r="C74" s="206" t="str">
        <f>'1. ALL DATA'!D75</f>
        <v>Identify site and produce a detailed business plan for delivery 
(September 2017)</v>
      </c>
      <c r="D74" s="207" t="str">
        <f>'1. ALL DATA'!H75</f>
        <v>Not yet due</v>
      </c>
      <c r="E74" s="397" t="s">
        <v>48</v>
      </c>
      <c r="F74" s="207" t="str">
        <f>'1. ALL DATA'!M75</f>
        <v>Fully Achieved</v>
      </c>
      <c r="G74" s="220" t="s">
        <v>243</v>
      </c>
      <c r="H74" s="145" t="str">
        <f>'1. ALL DATA'!R75</f>
        <v>Fully Achieved</v>
      </c>
      <c r="I74" s="220"/>
      <c r="J74" s="145" t="str">
        <f>'1. ALL DATA'!V75</f>
        <v>Update not Provided</v>
      </c>
    </row>
    <row r="75" spans="1:10" ht="99.75" hidden="1" customHeight="1">
      <c r="A75" s="204" t="str">
        <f>'1. ALL DATA'!A76</f>
        <v>PLEG12</v>
      </c>
      <c r="B75" s="205" t="str">
        <f>'1. ALL DATA'!C76</f>
        <v>Job Fairs</v>
      </c>
      <c r="C75" s="206" t="str">
        <f>'1. ALL DATA'!D76</f>
        <v>Deliver three jobs fairs 
(March 2018)</v>
      </c>
      <c r="D75" s="207" t="str">
        <f>'1. ALL DATA'!H76</f>
        <v>On Track to be Achieved</v>
      </c>
      <c r="E75" s="220" t="s">
        <v>243</v>
      </c>
      <c r="F75" s="207" t="str">
        <f>'1. ALL DATA'!M76</f>
        <v>On Track to be Achieved</v>
      </c>
      <c r="G75" s="220" t="s">
        <v>243</v>
      </c>
      <c r="H75" s="145" t="str">
        <f>'1. ALL DATA'!R76</f>
        <v>On Track to be Achieved</v>
      </c>
      <c r="I75" s="220"/>
      <c r="J75" s="145" t="str">
        <f>'1. ALL DATA'!V76</f>
        <v>Update not Provided</v>
      </c>
    </row>
    <row r="76" spans="1:10" ht="99.75" hidden="1" customHeight="1">
      <c r="A76" s="204" t="str">
        <f>'1. ALL DATA'!A77</f>
        <v>PLEG13</v>
      </c>
      <c r="B76" s="205" t="str">
        <f>'1. ALL DATA'!C77</f>
        <v>Monitor Appeals</v>
      </c>
      <c r="C76" s="206" t="str">
        <f>'1. ALL DATA'!D77</f>
        <v>Establish baseline number of appeals against number of planning applications received 
(March 2018)</v>
      </c>
      <c r="D76" s="207" t="str">
        <f>'1. ALL DATA'!H77</f>
        <v>Not yet due</v>
      </c>
      <c r="E76" s="397" t="s">
        <v>48</v>
      </c>
      <c r="F76" s="207" t="str">
        <f>'1. ALL DATA'!M77</f>
        <v>Not yet due</v>
      </c>
      <c r="G76" s="397" t="s">
        <v>48</v>
      </c>
      <c r="H76" s="145" t="str">
        <f>'1. ALL DATA'!R77</f>
        <v>On Track to be Achieved</v>
      </c>
      <c r="I76" s="220"/>
      <c r="J76" s="145" t="str">
        <f>'1. ALL DATA'!V77</f>
        <v>Update not Provided</v>
      </c>
    </row>
    <row r="77" spans="1:10" ht="99.75" hidden="1" customHeight="1">
      <c r="A77" s="204" t="str">
        <f>'1. ALL DATA'!A78</f>
        <v>PLEG14</v>
      </c>
      <c r="B77" s="205" t="str">
        <f>'1. ALL DATA'!C78</f>
        <v xml:space="preserve">Deliver Neighbourhood Planning Referenda </v>
      </c>
      <c r="C77" s="206" t="str">
        <f>'1. ALL DATA'!D78</f>
        <v>Complete in accordance with statutory requirements</v>
      </c>
      <c r="D77" s="207" t="str">
        <f>'1. ALL DATA'!H78</f>
        <v>On Track to be Achieved</v>
      </c>
      <c r="E77" s="220" t="s">
        <v>243</v>
      </c>
      <c r="F77" s="207" t="str">
        <f>'1. ALL DATA'!M78</f>
        <v>On Track to be Achieved</v>
      </c>
      <c r="G77" s="220" t="s">
        <v>243</v>
      </c>
      <c r="H77" s="145" t="str">
        <f>'1. ALL DATA'!R78</f>
        <v>On Track to be Achieved</v>
      </c>
      <c r="I77" s="220"/>
      <c r="J77" s="145" t="str">
        <f>'1. ALL DATA'!V78</f>
        <v>Update not Provided</v>
      </c>
    </row>
    <row r="78" spans="1:10" ht="99.75" hidden="1" customHeight="1">
      <c r="A78" s="204" t="str">
        <f>'1. ALL DATA'!A79</f>
        <v>PLEG15</v>
      </c>
      <c r="B78" s="205" t="str">
        <f>'1. ALL DATA'!C79</f>
        <v>Major Planning Applications Determined Within 13 Weeks</v>
      </c>
      <c r="C78" s="206" t="str">
        <f>'1. ALL DATA'!D79</f>
        <v>Top Quartile as measured against relevant DCLG figures</v>
      </c>
      <c r="D78" s="207" t="str">
        <f>'1. ALL DATA'!H79</f>
        <v>On Track to be Achieved</v>
      </c>
      <c r="E78" s="220" t="s">
        <v>243</v>
      </c>
      <c r="F78" s="207" t="str">
        <f>'1. ALL DATA'!M79</f>
        <v>On Track to be Achieved</v>
      </c>
      <c r="G78" s="220" t="s">
        <v>243</v>
      </c>
      <c r="H78" s="145" t="str">
        <f>'1. ALL DATA'!R79</f>
        <v>On Track to be Achieved</v>
      </c>
      <c r="I78" s="220"/>
      <c r="J78" s="145" t="str">
        <f>'1. ALL DATA'!V79</f>
        <v>Update not Provided</v>
      </c>
    </row>
    <row r="79" spans="1:10" ht="99.75" hidden="1" customHeight="1">
      <c r="A79" s="204" t="str">
        <f>'1. ALL DATA'!A80</f>
        <v>PLEG16</v>
      </c>
      <c r="B79" s="205" t="str">
        <f>'1. ALL DATA'!C80</f>
        <v>Minor Planning Applications Determined Within 8 Weeks</v>
      </c>
      <c r="C79" s="206" t="str">
        <f>'1. ALL DATA'!D80</f>
        <v>Top Quartile as measured against relevant DCLG figures</v>
      </c>
      <c r="D79" s="207" t="str">
        <f>'1. ALL DATA'!H80</f>
        <v>On Track to be Achieved</v>
      </c>
      <c r="E79" s="220" t="s">
        <v>243</v>
      </c>
      <c r="F79" s="207" t="str">
        <f>'1. ALL DATA'!M80</f>
        <v>On Track to be Achieved</v>
      </c>
      <c r="G79" s="220" t="s">
        <v>243</v>
      </c>
      <c r="H79" s="145" t="str">
        <f>'1. ALL DATA'!R80</f>
        <v>On Track to be Achieved</v>
      </c>
      <c r="I79" s="220"/>
      <c r="J79" s="145" t="str">
        <f>'1. ALL DATA'!V80</f>
        <v>Update not Provided</v>
      </c>
    </row>
    <row r="80" spans="1:10" ht="87.75" hidden="1">
      <c r="A80" s="204" t="str">
        <f>'1. ALL DATA'!A81</f>
        <v>PLEG17</v>
      </c>
      <c r="B80" s="205" t="str">
        <f>'1. ALL DATA'!C81</f>
        <v>Other Planning Applications Determined in 8 Weeks</v>
      </c>
      <c r="C80" s="206" t="str">
        <f>'1. ALL DATA'!D81</f>
        <v>Top Quartile as measured against relevant DCLG figures</v>
      </c>
      <c r="D80" s="207" t="str">
        <f>'1. ALL DATA'!H81</f>
        <v>On Track to be Achieved</v>
      </c>
      <c r="E80" s="220" t="s">
        <v>243</v>
      </c>
      <c r="F80" s="207" t="str">
        <f>'1. ALL DATA'!M81</f>
        <v>On Track to be Achieved</v>
      </c>
      <c r="G80" s="220" t="s">
        <v>243</v>
      </c>
      <c r="H80" s="145" t="str">
        <f>'1. ALL DATA'!R81</f>
        <v>On Track to be Achieved</v>
      </c>
      <c r="I80" s="220"/>
      <c r="J80" s="145" t="str">
        <f>'1. ALL DATA'!V81</f>
        <v>Update not Provided</v>
      </c>
    </row>
    <row r="81" spans="1:46" ht="99.75" hidden="1" customHeight="1">
      <c r="A81" s="204" t="str">
        <f>'1. ALL DATA'!A82</f>
        <v>PLEG18</v>
      </c>
      <c r="B81" s="205" t="str">
        <f>'1. ALL DATA'!C82</f>
        <v>Support the Preparation of Neighbourhood Plans</v>
      </c>
      <c r="C81" s="206" t="str">
        <f>'1. ALL DATA'!D82</f>
        <v>Minimum of 2 new Neighbourhood Plans “made” 
(March 2018)</v>
      </c>
      <c r="D81" s="207" t="str">
        <f>'1. ALL DATA'!H82</f>
        <v>On Track to be Achieved</v>
      </c>
      <c r="E81" s="220" t="s">
        <v>243</v>
      </c>
      <c r="F81" s="207" t="str">
        <f>'1. ALL DATA'!M82</f>
        <v>On Track to be Achieved</v>
      </c>
      <c r="G81" s="219" t="s">
        <v>241</v>
      </c>
      <c r="H81" s="145" t="str">
        <f>'1. ALL DATA'!R82</f>
        <v>In Danger of Falling Behind Target</v>
      </c>
      <c r="I81" s="220"/>
      <c r="J81" s="145" t="str">
        <f>'1. ALL DATA'!V82</f>
        <v>Update not Provided</v>
      </c>
    </row>
    <row r="82" spans="1:46" ht="99.75" hidden="1" customHeight="1">
      <c r="A82" s="204" t="str">
        <f>'1. ALL DATA'!A83</f>
        <v>PLEG19</v>
      </c>
      <c r="B82" s="205" t="str">
        <f>'1. ALL DATA'!C83</f>
        <v xml:space="preserve">Deliver Supplementary Planning Documents </v>
      </c>
      <c r="C82" s="206" t="str">
        <f>'1. ALL DATA'!D83</f>
        <v>New Parking Standards SPD approved
(September 2017)</v>
      </c>
      <c r="D82" s="207" t="str">
        <f>'1. ALL DATA'!H83</f>
        <v>On Track to be Achieved</v>
      </c>
      <c r="E82" s="220" t="s">
        <v>243</v>
      </c>
      <c r="F82" s="207" t="str">
        <f>'1. ALL DATA'!M83</f>
        <v>Fully Achieved</v>
      </c>
      <c r="G82" s="220" t="s">
        <v>243</v>
      </c>
      <c r="H82" s="145" t="str">
        <f>'1. ALL DATA'!R83</f>
        <v>Fully Achieved</v>
      </c>
      <c r="I82" s="220"/>
      <c r="J82" s="145" t="str">
        <f>'1. ALL DATA'!V83</f>
        <v>Update not Provided</v>
      </c>
    </row>
    <row r="83" spans="1:46" ht="99.75" hidden="1" customHeight="1">
      <c r="A83" s="204" t="str">
        <f>'1. ALL DATA'!A84</f>
        <v>PLEG20</v>
      </c>
      <c r="B83" s="205" t="str">
        <f>'1. ALL DATA'!C84</f>
        <v>Deliver Supplementary Planning Documents</v>
      </c>
      <c r="C83" s="206" t="str">
        <f>'1. ALL DATA'!D84</f>
        <v>Work carried out on Open Spaces SPD in order to meet adoption in 2018/19
(March 2018)</v>
      </c>
      <c r="D83" s="207" t="str">
        <f>'1. ALL DATA'!H84</f>
        <v>On Track to be Achieved</v>
      </c>
      <c r="E83" s="220" t="s">
        <v>243</v>
      </c>
      <c r="F83" s="207" t="str">
        <f>'1. ALL DATA'!M84</f>
        <v>On Track to be Achieved</v>
      </c>
      <c r="G83" s="220" t="s">
        <v>243</v>
      </c>
      <c r="H83" s="145" t="str">
        <f>'1. ALL DATA'!R84</f>
        <v>On Track to be Achieved</v>
      </c>
      <c r="I83" s="397"/>
      <c r="J83" s="145" t="str">
        <f>'1. ALL DATA'!V84</f>
        <v>Update not Provided</v>
      </c>
    </row>
    <row r="84" spans="1:46" ht="99.75" hidden="1" customHeight="1">
      <c r="A84" s="204" t="str">
        <f>'1. ALL DATA'!A85</f>
        <v>PLEG21</v>
      </c>
      <c r="B84" s="205" t="str">
        <f>'1. ALL DATA'!C85</f>
        <v xml:space="preserve">To Carry Out Necessary Work With Reference to the Transfer of the Local Land Charges Register to the Land Registry </v>
      </c>
      <c r="C84" s="206" t="str">
        <f>'1. ALL DATA'!D85</f>
        <v>Completed in accordance with any legislative requirements
(March 2018)</v>
      </c>
      <c r="D84" s="207" t="str">
        <f>'1. ALL DATA'!H85</f>
        <v>Not yet due</v>
      </c>
      <c r="E84" s="397" t="s">
        <v>48</v>
      </c>
      <c r="F84" s="207" t="str">
        <f>'1. ALL DATA'!M85</f>
        <v>On Track to be Achieved</v>
      </c>
      <c r="G84" s="220" t="s">
        <v>243</v>
      </c>
      <c r="H84" s="145" t="str">
        <f>'1. ALL DATA'!R85</f>
        <v>On Track to be Achieved</v>
      </c>
      <c r="I84" s="220"/>
      <c r="J84" s="145" t="str">
        <f>'1. ALL DATA'!V85</f>
        <v>Update not Provided</v>
      </c>
    </row>
    <row r="85" spans="1:46" s="161" customFormat="1" ht="87.75" hidden="1">
      <c r="A85" s="294" t="str">
        <f>'1. ALL DATA'!A86</f>
        <v>PLEG22</v>
      </c>
      <c r="B85" s="291" t="str">
        <f>'1. ALL DATA'!C86</f>
        <v>Providing More Appropriate  Ways for Services to be Delivered</v>
      </c>
      <c r="C85" s="292" t="str">
        <f>'1. ALL DATA'!D86</f>
        <v>Implement Shopmobility Review findings
(June 2017)</v>
      </c>
      <c r="D85" s="293" t="str">
        <f>'1. ALL DATA'!H86</f>
        <v>Fully Achieved</v>
      </c>
      <c r="E85" s="220" t="s">
        <v>243</v>
      </c>
      <c r="F85" s="293" t="str">
        <f>'1. ALL DATA'!M86</f>
        <v>Fully Achieved</v>
      </c>
      <c r="G85" s="220" t="s">
        <v>243</v>
      </c>
      <c r="H85" s="211" t="str">
        <f>'1. ALL DATA'!R86</f>
        <v>Fully Achieved</v>
      </c>
      <c r="I85" s="418"/>
      <c r="J85" s="211" t="str">
        <f>'1. ALL DATA'!V86</f>
        <v>Update not Provided</v>
      </c>
      <c r="K85" s="168"/>
      <c r="L85" s="168"/>
      <c r="M85" s="169"/>
      <c r="N85" s="170"/>
      <c r="O85" s="171"/>
      <c r="P85" s="171"/>
      <c r="Q85" s="171"/>
      <c r="R85" s="169"/>
      <c r="S85" s="172"/>
      <c r="T85" s="168"/>
      <c r="U85" s="168"/>
      <c r="V85" s="173"/>
      <c r="W85" s="168"/>
      <c r="X85" s="169"/>
      <c r="Y85" s="169"/>
      <c r="Z85" s="169"/>
      <c r="AA85" s="169"/>
      <c r="AB85" s="160"/>
      <c r="AC85" s="156"/>
      <c r="AD85" s="167"/>
      <c r="AE85" s="167"/>
      <c r="AF85" s="167"/>
      <c r="AG85" s="167"/>
      <c r="AH85" s="167"/>
      <c r="AI85" s="167"/>
      <c r="AJ85" s="167"/>
      <c r="AK85" s="167"/>
      <c r="AL85" s="167"/>
      <c r="AM85" s="167"/>
      <c r="AN85" s="167"/>
      <c r="AO85" s="167"/>
      <c r="AP85" s="167"/>
      <c r="AQ85" s="167"/>
      <c r="AR85" s="167"/>
      <c r="AS85" s="167"/>
      <c r="AT85" s="167"/>
    </row>
    <row r="86" spans="1:46" s="427" customFormat="1" ht="25.5" hidden="1" customHeight="1">
      <c r="A86" s="208" t="str">
        <f>'1. ALL DATA'!A87</f>
        <v>Protecting and Strengthening Communities - Love Where you Live</v>
      </c>
      <c r="B86" s="428"/>
      <c r="C86" s="422"/>
      <c r="D86" s="423"/>
      <c r="E86" s="429"/>
      <c r="F86" s="423"/>
      <c r="G86" s="424"/>
      <c r="H86" s="423"/>
      <c r="I86" s="424"/>
      <c r="J86" s="425"/>
      <c r="K86" s="426"/>
      <c r="L86" s="426"/>
      <c r="M86" s="426"/>
      <c r="N86" s="426"/>
      <c r="O86" s="426"/>
      <c r="P86" s="426"/>
      <c r="Q86" s="426"/>
      <c r="R86" s="426"/>
      <c r="S86" s="426"/>
      <c r="T86" s="426"/>
      <c r="U86" s="426"/>
      <c r="V86" s="426"/>
      <c r="W86" s="426"/>
      <c r="X86" s="426"/>
      <c r="Y86" s="426"/>
      <c r="Z86" s="426"/>
      <c r="AA86" s="426"/>
      <c r="AB86" s="426"/>
      <c r="AC86" s="426"/>
      <c r="AD86" s="426"/>
      <c r="AE86" s="426"/>
      <c r="AF86" s="426"/>
      <c r="AG86" s="426"/>
      <c r="AH86" s="426"/>
      <c r="AI86" s="426"/>
      <c r="AJ86" s="426"/>
      <c r="AK86" s="426"/>
      <c r="AL86" s="426"/>
      <c r="AM86" s="426"/>
      <c r="AN86" s="426"/>
      <c r="AO86" s="426"/>
      <c r="AP86" s="426"/>
      <c r="AQ86" s="426"/>
      <c r="AR86" s="426"/>
      <c r="AS86" s="426"/>
      <c r="AT86" s="426"/>
    </row>
    <row r="87" spans="1:46" ht="99.75" hidden="1" customHeight="1">
      <c r="A87" s="204" t="str">
        <f>'1. ALL DATA'!A88</f>
        <v>PSC01</v>
      </c>
      <c r="B87" s="205" t="str">
        <f>'1. ALL DATA'!C88</f>
        <v>Community Sport and Health Development Initiatives</v>
      </c>
      <c r="C87" s="206" t="str">
        <f>'1. ALL DATA'!D88</f>
        <v>Deliver a Community Support Programme providing a wide range of opportunity for our communities, including: “Diversionary” activity programme; disability sport and physical activity programme; I-Dance and Art sessions; gardening engagement 
(March 2018)</v>
      </c>
      <c r="D87" s="207" t="str">
        <f>'1. ALL DATA'!H88</f>
        <v>On Track to be Achieved</v>
      </c>
      <c r="E87" s="220" t="s">
        <v>243</v>
      </c>
      <c r="F87" s="207" t="str">
        <f>'1. ALL DATA'!M88</f>
        <v>On Track to be Achieved</v>
      </c>
      <c r="G87" s="220" t="s">
        <v>243</v>
      </c>
      <c r="H87" s="207" t="str">
        <f>'1. ALL DATA'!R88</f>
        <v>On Track to be Achieved</v>
      </c>
      <c r="I87" s="419"/>
      <c r="J87" s="207" t="str">
        <f>'1. ALL DATA'!V88</f>
        <v>Update not Provided</v>
      </c>
    </row>
    <row r="88" spans="1:46" ht="99.75" hidden="1" customHeight="1">
      <c r="A88" s="204" t="str">
        <f>'1. ALL DATA'!A89</f>
        <v>PSC02</v>
      </c>
      <c r="B88" s="205" t="str">
        <f>'1. ALL DATA'!C89</f>
        <v>Community Sport and Health Development Initiatives</v>
      </c>
      <c r="C88" s="206" t="str">
        <f>'1. ALL DATA'!D89</f>
        <v>Consider accessing external funding to assist in the delivery of community programmes, including: an initiative aimed at improving physical activity in the 60+ age group 
(March 2018)</v>
      </c>
      <c r="D88" s="207" t="str">
        <f>'1. ALL DATA'!H89</f>
        <v>On Track to be Achieved</v>
      </c>
      <c r="E88" s="220" t="s">
        <v>243</v>
      </c>
      <c r="F88" s="207" t="str">
        <f>'1. ALL DATA'!M89</f>
        <v>On Track to be Achieved</v>
      </c>
      <c r="G88" s="220" t="s">
        <v>243</v>
      </c>
      <c r="H88" s="145" t="str">
        <f>'1. ALL DATA'!R89</f>
        <v>On Track to be Achieved</v>
      </c>
      <c r="I88" s="220"/>
      <c r="J88" s="145" t="str">
        <f>'1. ALL DATA'!V89</f>
        <v>Update not Provided</v>
      </c>
    </row>
    <row r="89" spans="1:46" ht="99.75" hidden="1" customHeight="1">
      <c r="A89" s="204" t="str">
        <f>'1. ALL DATA'!A90</f>
        <v>PSC03</v>
      </c>
      <c r="B89" s="205" t="str">
        <f>'1. ALL DATA'!C90</f>
        <v>Community Sport and Health Development Initiatives</v>
      </c>
      <c r="C89" s="206" t="str">
        <f>'1. ALL DATA'!D90</f>
        <v xml:space="preserve">Achieve IFI accreditation at Meadowside Leisure Centre 
(December 2017) </v>
      </c>
      <c r="D89" s="207" t="str">
        <f>'1. ALL DATA'!H90</f>
        <v>Not yet due</v>
      </c>
      <c r="E89" s="397" t="s">
        <v>48</v>
      </c>
      <c r="F89" s="207" t="str">
        <f>'1. ALL DATA'!M90</f>
        <v>Not yet due</v>
      </c>
      <c r="G89" s="397" t="s">
        <v>48</v>
      </c>
      <c r="H89" s="145" t="str">
        <f>'1. ALL DATA'!R90</f>
        <v>Fully Achieved</v>
      </c>
      <c r="I89" s="220"/>
      <c r="J89" s="145" t="str">
        <f>'1. ALL DATA'!V90</f>
        <v>Update not Provided</v>
      </c>
    </row>
    <row r="90" spans="1:46" ht="99.75" hidden="1" customHeight="1">
      <c r="A90" s="204" t="str">
        <f>'1. ALL DATA'!A91</f>
        <v>PSC04</v>
      </c>
      <c r="B90" s="205" t="str">
        <f>'1. ALL DATA'!C91</f>
        <v>Community Sport and Health Development Initiatives</v>
      </c>
      <c r="C90" s="206" t="str">
        <f>'1. ALL DATA'!D91</f>
        <v>Develop a ‘Dementia friendly’ programme-including provision for dedicated swimming sessions 
(May 2017)</v>
      </c>
      <c r="D90" s="207" t="str">
        <f>'1. ALL DATA'!H91</f>
        <v>Fully Achieved</v>
      </c>
      <c r="E90" s="220" t="s">
        <v>243</v>
      </c>
      <c r="F90" s="207" t="str">
        <f>'1. ALL DATA'!M91</f>
        <v>Fully Achieved</v>
      </c>
      <c r="G90" s="220" t="s">
        <v>243</v>
      </c>
      <c r="H90" s="145" t="str">
        <f>'1. ALL DATA'!R91</f>
        <v>Fully Achieved</v>
      </c>
      <c r="I90" s="220"/>
      <c r="J90" s="145" t="str">
        <f>'1. ALL DATA'!V91</f>
        <v>Update not Provided</v>
      </c>
    </row>
    <row r="91" spans="1:46" ht="99.75" hidden="1" customHeight="1">
      <c r="A91" s="204" t="str">
        <f>'1. ALL DATA'!A92</f>
        <v>PSC05</v>
      </c>
      <c r="B91" s="205" t="str">
        <f>'1. ALL DATA'!C92</f>
        <v>Open Spaces Service Development Initiatives</v>
      </c>
      <c r="C91" s="206" t="str">
        <f>'1. ALL DATA'!D92</f>
        <v>Undertake a review of pricing at Stapenhill Cemetery 
(October 2017)</v>
      </c>
      <c r="D91" s="207" t="str">
        <f>'1. ALL DATA'!H92</f>
        <v>On Track to be Achieved</v>
      </c>
      <c r="E91" s="220" t="s">
        <v>243</v>
      </c>
      <c r="F91" s="207" t="str">
        <f>'1. ALL DATA'!M92</f>
        <v>On Track to be Achieved</v>
      </c>
      <c r="G91" s="220" t="s">
        <v>243</v>
      </c>
      <c r="H91" s="145" t="str">
        <f>'1. ALL DATA'!R92</f>
        <v>Fully Achieved</v>
      </c>
      <c r="I91" s="220"/>
      <c r="J91" s="145" t="str">
        <f>'1. ALL DATA'!V92</f>
        <v>Update not Provided</v>
      </c>
    </row>
    <row r="92" spans="1:46" ht="99.75" hidden="1" customHeight="1">
      <c r="A92" s="204" t="str">
        <f>'1. ALL DATA'!A93</f>
        <v>PSC06</v>
      </c>
      <c r="B92" s="205" t="str">
        <f>'1. ALL DATA'!C93</f>
        <v>Open Spaces Service Development Initiatives</v>
      </c>
      <c r="C92" s="206" t="str">
        <f>'1. ALL DATA'!D93</f>
        <v>Review current operational practices and procedures at Stapenhill Cemetery and update management documentation
(March 2018)</v>
      </c>
      <c r="D92" s="207" t="str">
        <f>'1. ALL DATA'!H93</f>
        <v>On Track to be Achieved</v>
      </c>
      <c r="E92" s="220" t="s">
        <v>243</v>
      </c>
      <c r="F92" s="207" t="str">
        <f>'1. ALL DATA'!M93</f>
        <v>On Track to be Achieved</v>
      </c>
      <c r="G92" s="220" t="s">
        <v>243</v>
      </c>
      <c r="H92" s="145" t="str">
        <f>'1. ALL DATA'!R93</f>
        <v>Fully Achieved</v>
      </c>
      <c r="I92" s="220"/>
      <c r="J92" s="145" t="str">
        <f>'1. ALL DATA'!V93</f>
        <v>Update not Provided</v>
      </c>
    </row>
    <row r="93" spans="1:46" ht="99.75" hidden="1" customHeight="1">
      <c r="A93" s="204" t="str">
        <f>'1. ALL DATA'!A94</f>
        <v>PSC07</v>
      </c>
      <c r="B93" s="205" t="str">
        <f>'1. ALL DATA'!C94</f>
        <v>Open Spaces Service Development Initiatives</v>
      </c>
      <c r="C93" s="206" t="str">
        <f>'1. ALL DATA'!D94</f>
        <v>Review processes and delivery methods for delivering safeguarding training to members and officers
(September 2017)</v>
      </c>
      <c r="D93" s="207" t="str">
        <f>'1. ALL DATA'!H94</f>
        <v>Fully Achieved</v>
      </c>
      <c r="E93" s="220" t="s">
        <v>243</v>
      </c>
      <c r="F93" s="207" t="str">
        <f>'1. ALL DATA'!M94</f>
        <v>Fully Achieved</v>
      </c>
      <c r="G93" s="220" t="s">
        <v>243</v>
      </c>
      <c r="H93" s="145" t="str">
        <f>'1. ALL DATA'!R94</f>
        <v>Fully Achieved</v>
      </c>
      <c r="I93" s="220"/>
      <c r="J93" s="145" t="str">
        <f>'1. ALL DATA'!V94</f>
        <v>Update not Provided</v>
      </c>
    </row>
    <row r="94" spans="1:46" ht="99.75" hidden="1" customHeight="1">
      <c r="A94" s="204" t="str">
        <f>'1. ALL DATA'!A95</f>
        <v>PSC08</v>
      </c>
      <c r="B94" s="205" t="str">
        <f>'1. ALL DATA'!C95</f>
        <v>Open Spaces Service Development Initiatives</v>
      </c>
      <c r="C94" s="206" t="str">
        <f>'1. ALL DATA'!D95</f>
        <v>Review the quality assurance frameworks for parks and open spaces and identify a revised approach
(March 2018)</v>
      </c>
      <c r="D94" s="207" t="str">
        <f>'1. ALL DATA'!H95</f>
        <v>On Track to be Achieved</v>
      </c>
      <c r="E94" s="220" t="s">
        <v>243</v>
      </c>
      <c r="F94" s="207" t="str">
        <f>'1. ALL DATA'!M95</f>
        <v>On Track to be Achieved</v>
      </c>
      <c r="G94" s="220" t="s">
        <v>243</v>
      </c>
      <c r="H94" s="145" t="str">
        <f>'1. ALL DATA'!R95</f>
        <v>On Track to be Achieved</v>
      </c>
      <c r="I94" s="220"/>
      <c r="J94" s="145" t="str">
        <f>'1. ALL DATA'!V95</f>
        <v>Update not Provided</v>
      </c>
    </row>
    <row r="95" spans="1:46" ht="99.75" hidden="1" customHeight="1">
      <c r="A95" s="204" t="str">
        <f>'1. ALL DATA'!A96</f>
        <v>PSC09</v>
      </c>
      <c r="B95" s="205" t="str">
        <f>'1. ALL DATA'!C96</f>
        <v>Open Spaces Service Development Initiatives</v>
      </c>
      <c r="C95" s="206" t="str">
        <f>'1. ALL DATA'!D96</f>
        <v xml:space="preserve">Achieve three ‘In Bloom’ awards in:
a) Burton
b) Uttoxeter 
c) Winshill 
(September 2017) </v>
      </c>
      <c r="D95" s="207" t="str">
        <f>'1. ALL DATA'!H96</f>
        <v>Not yet due</v>
      </c>
      <c r="E95" s="397" t="s">
        <v>48</v>
      </c>
      <c r="F95" s="207" t="str">
        <f>'1. ALL DATA'!M96</f>
        <v>Fully Achieved</v>
      </c>
      <c r="G95" s="220" t="s">
        <v>243</v>
      </c>
      <c r="H95" s="145" t="str">
        <f>'1. ALL DATA'!R96</f>
        <v>Fully Achieved</v>
      </c>
      <c r="I95" s="220"/>
      <c r="J95" s="145" t="str">
        <f>'1. ALL DATA'!V96</f>
        <v>Update not Provided</v>
      </c>
    </row>
    <row r="96" spans="1:46" ht="99.75" hidden="1" customHeight="1">
      <c r="A96" s="204" t="str">
        <f>'1. ALL DATA'!A97</f>
        <v>PSC10</v>
      </c>
      <c r="B96" s="205" t="str">
        <f>'1. ALL DATA'!C97</f>
        <v>Open Spaces Service Development Initiatives</v>
      </c>
      <c r="C96" s="206" t="str">
        <f>'1. ALL DATA'!D97</f>
        <v>Achieve three Green Flags in parks across the Borough 
(March 2018)</v>
      </c>
      <c r="D96" s="207" t="str">
        <f>'1. ALL DATA'!H97</f>
        <v>Fully Achieved</v>
      </c>
      <c r="E96" s="220" t="s">
        <v>243</v>
      </c>
      <c r="F96" s="207" t="str">
        <f>'1. ALL DATA'!M97</f>
        <v>Fully Achieved</v>
      </c>
      <c r="G96" s="220" t="s">
        <v>243</v>
      </c>
      <c r="H96" s="145" t="str">
        <f>'1. ALL DATA'!R97</f>
        <v>Fully Achieved</v>
      </c>
      <c r="I96" s="220"/>
      <c r="J96" s="145" t="str">
        <f>'1. ALL DATA'!V97</f>
        <v>Update not Provided</v>
      </c>
    </row>
    <row r="97" spans="1:10" ht="99.75" hidden="1" customHeight="1">
      <c r="A97" s="204" t="str">
        <f>'1. ALL DATA'!A98</f>
        <v>PSC11</v>
      </c>
      <c r="B97" s="205" t="str">
        <f>'1. ALL DATA'!C98</f>
        <v>Maintain Top Quartile Performance for Street Cleansing - Litter</v>
      </c>
      <c r="C97" s="206">
        <f>'1. ALL DATA'!D98</f>
        <v>0</v>
      </c>
      <c r="D97" s="207" t="str">
        <f>'1. ALL DATA'!H98</f>
        <v>Not yet due</v>
      </c>
      <c r="E97" s="397" t="s">
        <v>48</v>
      </c>
      <c r="F97" s="207" t="str">
        <f>'1. ALL DATA'!M98</f>
        <v>On Track to be Achieved</v>
      </c>
      <c r="G97" s="220" t="s">
        <v>243</v>
      </c>
      <c r="H97" s="145" t="str">
        <f>'1. ALL DATA'!R98</f>
        <v>On Track to be Achieved</v>
      </c>
      <c r="I97" s="220"/>
      <c r="J97" s="145" t="str">
        <f>'1. ALL DATA'!V98</f>
        <v>Update not Provided</v>
      </c>
    </row>
    <row r="98" spans="1:10" ht="99.75" hidden="1" customHeight="1">
      <c r="A98" s="204" t="str">
        <f>'1. ALL DATA'!A99</f>
        <v>PSC12</v>
      </c>
      <c r="B98" s="205" t="str">
        <f>'1. ALL DATA'!C99</f>
        <v>Maintain Top Quartile Performance for Street Cleansing - Detritus</v>
      </c>
      <c r="C98" s="206">
        <f>'1. ALL DATA'!D99</f>
        <v>0.01</v>
      </c>
      <c r="D98" s="207" t="str">
        <f>'1. ALL DATA'!H99</f>
        <v>Not yet due</v>
      </c>
      <c r="E98" s="397" t="s">
        <v>48</v>
      </c>
      <c r="F98" s="207" t="str">
        <f>'1. ALL DATA'!M99</f>
        <v>On Track to be Achieved</v>
      </c>
      <c r="G98" s="220" t="s">
        <v>243</v>
      </c>
      <c r="H98" s="145" t="str">
        <f>'1. ALL DATA'!R99</f>
        <v>On Track to be Achieved</v>
      </c>
      <c r="I98" s="220"/>
      <c r="J98" s="145" t="str">
        <f>'1. ALL DATA'!V99</f>
        <v>Update not Provided</v>
      </c>
    </row>
    <row r="99" spans="1:10" ht="99.75" hidden="1" customHeight="1">
      <c r="A99" s="204" t="str">
        <f>'1. ALL DATA'!A100</f>
        <v>PSC13</v>
      </c>
      <c r="B99" s="205" t="str">
        <f>'1. ALL DATA'!C100</f>
        <v>Maintain Top Quartile Performance for Street Cleansing - Graffiti</v>
      </c>
      <c r="C99" s="206">
        <f>'1. ALL DATA'!D100</f>
        <v>0</v>
      </c>
      <c r="D99" s="207" t="str">
        <f>'1. ALL DATA'!H100</f>
        <v>Not yet due</v>
      </c>
      <c r="E99" s="397" t="s">
        <v>48</v>
      </c>
      <c r="F99" s="207" t="str">
        <f>'1. ALL DATA'!M100</f>
        <v>On Track to be Achieved</v>
      </c>
      <c r="G99" s="220" t="s">
        <v>243</v>
      </c>
      <c r="H99" s="145" t="str">
        <f>'1. ALL DATA'!R100</f>
        <v>On Track to be Achieved</v>
      </c>
      <c r="I99" s="220"/>
      <c r="J99" s="145" t="str">
        <f>'1. ALL DATA'!V100</f>
        <v>Update not Provided</v>
      </c>
    </row>
    <row r="100" spans="1:10" ht="99.75" hidden="1" customHeight="1">
      <c r="A100" s="204" t="str">
        <f>'1. ALL DATA'!A101</f>
        <v>PSC14</v>
      </c>
      <c r="B100" s="205" t="str">
        <f>'1. ALL DATA'!C101</f>
        <v>Maintain Top Quartile Performance for Street Cleansing – Fly-Posting</v>
      </c>
      <c r="C100" s="206">
        <f>'1. ALL DATA'!D101</f>
        <v>0</v>
      </c>
      <c r="D100" s="207" t="str">
        <f>'1. ALL DATA'!H101</f>
        <v>Not yet due</v>
      </c>
      <c r="E100" s="397" t="s">
        <v>48</v>
      </c>
      <c r="F100" s="207" t="str">
        <f>'1. ALL DATA'!M101</f>
        <v>On Track to be Achieved</v>
      </c>
      <c r="G100" s="220" t="s">
        <v>243</v>
      </c>
      <c r="H100" s="145" t="str">
        <f>'1. ALL DATA'!R101</f>
        <v>On Track to be Achieved</v>
      </c>
      <c r="I100" s="220"/>
      <c r="J100" s="145" t="str">
        <f>'1. ALL DATA'!V101</f>
        <v>Update not Provided</v>
      </c>
    </row>
    <row r="101" spans="1:10" ht="99.75" hidden="1" customHeight="1">
      <c r="A101" s="204" t="str">
        <f>'1. ALL DATA'!A102</f>
        <v>PSC15</v>
      </c>
      <c r="B101" s="205" t="str">
        <f>'1. ALL DATA'!C102</f>
        <v>“Loo of The Year” Awards</v>
      </c>
      <c r="C101" s="206" t="str">
        <f>'1. ALL DATA'!D102</f>
        <v>Achieve 4 gold standard awards 
(March 2018)</v>
      </c>
      <c r="D101" s="207" t="str">
        <f>'1. ALL DATA'!H102</f>
        <v>Not yet due</v>
      </c>
      <c r="E101" s="397" t="s">
        <v>48</v>
      </c>
      <c r="F101" s="207" t="str">
        <f>'1. ALL DATA'!M102</f>
        <v>Not yet due</v>
      </c>
      <c r="G101" s="397" t="s">
        <v>48</v>
      </c>
      <c r="H101" s="145" t="str">
        <f>'1. ALL DATA'!R102</f>
        <v>Fully Achieved</v>
      </c>
      <c r="I101" s="219"/>
      <c r="J101" s="145" t="str">
        <f>'1. ALL DATA'!V102</f>
        <v>Update not Provided</v>
      </c>
    </row>
    <row r="102" spans="1:10" ht="99.75" hidden="1" customHeight="1">
      <c r="A102" s="204" t="str">
        <f>'1. ALL DATA'!A103</f>
        <v>PSC16</v>
      </c>
      <c r="B102" s="205" t="str">
        <f>'1. ALL DATA'!C103</f>
        <v xml:space="preserve">Maintain Top Quartile Performance on Recycling </v>
      </c>
      <c r="C102" s="206" t="str">
        <f>'1. ALL DATA'!D103</f>
        <v>Household waste recycled and composted per household: 455kg</v>
      </c>
      <c r="D102" s="207" t="str">
        <f>'1. ALL DATA'!H103</f>
        <v>On Track to be Achieved</v>
      </c>
      <c r="E102" s="220" t="s">
        <v>243</v>
      </c>
      <c r="F102" s="207" t="str">
        <f>'1. ALL DATA'!M103</f>
        <v>On Track to be Achieved</v>
      </c>
      <c r="G102" s="219" t="s">
        <v>241</v>
      </c>
      <c r="H102" s="145" t="str">
        <f>'1. ALL DATA'!R103</f>
        <v>In Danger of Falling Behind Target</v>
      </c>
      <c r="I102" s="220"/>
      <c r="J102" s="145" t="str">
        <f>'1. ALL DATA'!V103</f>
        <v>Update not Provided</v>
      </c>
    </row>
    <row r="103" spans="1:10" ht="99.75" hidden="1" customHeight="1">
      <c r="A103" s="204" t="str">
        <f>'1. ALL DATA'!A104</f>
        <v>PSC17</v>
      </c>
      <c r="B103" s="205" t="str">
        <f>'1. ALL DATA'!C104</f>
        <v xml:space="preserve">Maintain Top Quartile Performance on Waste Reduction </v>
      </c>
      <c r="C103" s="206" t="str">
        <f>'1. ALL DATA'!D104</f>
        <v>Residual household waste per household: 50%</v>
      </c>
      <c r="D103" s="207" t="str">
        <f>'1. ALL DATA'!H104</f>
        <v>On Track to be Achieved</v>
      </c>
      <c r="E103" s="220" t="s">
        <v>243</v>
      </c>
      <c r="F103" s="207" t="str">
        <f>'1. ALL DATA'!M104</f>
        <v>On Track to be Achieved</v>
      </c>
      <c r="G103" s="220" t="s">
        <v>243</v>
      </c>
      <c r="H103" s="145" t="str">
        <f>'1. ALL DATA'!R104</f>
        <v>On Track to be Achieved</v>
      </c>
      <c r="I103" s="220"/>
      <c r="J103" s="145" t="str">
        <f>'1. ALL DATA'!V104</f>
        <v>Update not Provided</v>
      </c>
    </row>
    <row r="104" spans="1:10" ht="99.75" hidden="1" customHeight="1">
      <c r="A104" s="204" t="str">
        <f>'1. ALL DATA'!A105</f>
        <v>PSC18</v>
      </c>
      <c r="B104" s="205" t="str">
        <f>'1. ALL DATA'!C105</f>
        <v>Prepare for the Homelessness Reduction Bill</v>
      </c>
      <c r="C104" s="206" t="str">
        <f>'1. ALL DATA'!D105</f>
        <v>Produce plan to ensure compliance 
(March 2018)</v>
      </c>
      <c r="D104" s="207" t="str">
        <f>'1. ALL DATA'!H105</f>
        <v>On Track to be Achieved</v>
      </c>
      <c r="E104" s="220" t="s">
        <v>243</v>
      </c>
      <c r="F104" s="207" t="str">
        <f>'1. ALL DATA'!M105</f>
        <v>On Track to be Achieved</v>
      </c>
      <c r="G104" s="220" t="s">
        <v>243</v>
      </c>
      <c r="H104" s="145" t="str">
        <f>'1. ALL DATA'!R105</f>
        <v>On Track to be Achieved</v>
      </c>
      <c r="I104" s="220"/>
      <c r="J104" s="145" t="str">
        <f>'1. ALL DATA'!V105</f>
        <v>Update not Provided</v>
      </c>
    </row>
    <row r="105" spans="1:10" ht="99.75" hidden="1" customHeight="1">
      <c r="A105" s="204" t="str">
        <f>'1. ALL DATA'!A106</f>
        <v>PSC19</v>
      </c>
      <c r="B105" s="205" t="str">
        <f>'1. ALL DATA'!C106</f>
        <v>Supporting Homeless Residents</v>
      </c>
      <c r="C105" s="206" t="str">
        <f>'1. ALL DATA'!D106</f>
        <v>Provide same day advice and assistance to 90% of people making housing enquiries 
(March 2018)</v>
      </c>
      <c r="D105" s="207" t="str">
        <f>'1. ALL DATA'!H106</f>
        <v>On Track to be Achieved</v>
      </c>
      <c r="E105" s="220" t="s">
        <v>243</v>
      </c>
      <c r="F105" s="207" t="str">
        <f>'1. ALL DATA'!M106</f>
        <v>On Track to be Achieved</v>
      </c>
      <c r="G105" s="220" t="s">
        <v>243</v>
      </c>
      <c r="H105" s="145" t="str">
        <f>'1. ALL DATA'!R106</f>
        <v>On Track to be Achieved</v>
      </c>
      <c r="I105" s="220"/>
      <c r="J105" s="145" t="str">
        <f>'1. ALL DATA'!V106</f>
        <v>Update not Provided</v>
      </c>
    </row>
    <row r="106" spans="1:10" ht="99.75" hidden="1" customHeight="1">
      <c r="A106" s="203" t="str">
        <f>'1. ALL DATA'!A107</f>
        <v>PSC20</v>
      </c>
      <c r="B106" s="415" t="str">
        <f>'1. ALL DATA'!C107</f>
        <v>Supporting Homeless Residents</v>
      </c>
      <c r="C106" s="416" t="str">
        <f>'1. ALL DATA'!D107</f>
        <v>Average waiting time of 5 working days for homelessness appointments 
(March 2018)</v>
      </c>
      <c r="D106" s="145" t="str">
        <f>'1. ALL DATA'!H107</f>
        <v>On Track to be Achieved</v>
      </c>
      <c r="E106" s="220" t="s">
        <v>243</v>
      </c>
      <c r="F106" s="145" t="str">
        <f>'1. ALL DATA'!M107</f>
        <v>On Track to be Achieved</v>
      </c>
      <c r="G106" s="220" t="s">
        <v>243</v>
      </c>
      <c r="H106" s="145" t="str">
        <f>'1. ALL DATA'!R107</f>
        <v>On Track to be Achieved</v>
      </c>
      <c r="I106" s="220"/>
      <c r="J106" s="145" t="str">
        <f>'1. ALL DATA'!V107</f>
        <v>Update not Provided</v>
      </c>
    </row>
    <row r="107" spans="1:10" ht="99.75" hidden="1" customHeight="1">
      <c r="A107" s="203" t="str">
        <f>'1. ALL DATA'!A108</f>
        <v>PSC21</v>
      </c>
      <c r="B107" s="415" t="str">
        <f>'1. ALL DATA'!C108</f>
        <v>Rough Sleepers Outreach Service</v>
      </c>
      <c r="C107" s="416" t="str">
        <f>'1. ALL DATA'!D108</f>
        <v>Respond to 100% of referrals within 2 working days 
(March 2018)</v>
      </c>
      <c r="D107" s="145" t="str">
        <f>'1. ALL DATA'!H108</f>
        <v>On Track to be Achieved</v>
      </c>
      <c r="E107" s="220" t="s">
        <v>243</v>
      </c>
      <c r="F107" s="145" t="str">
        <f>'1. ALL DATA'!M108</f>
        <v>On Track to be Achieved</v>
      </c>
      <c r="G107" s="220" t="s">
        <v>243</v>
      </c>
      <c r="H107" s="145" t="str">
        <f>'1. ALL DATA'!R108</f>
        <v>On Track to be Achieved</v>
      </c>
      <c r="I107" s="220"/>
      <c r="J107" s="145" t="str">
        <f>'1. ALL DATA'!V108</f>
        <v>Update not Provided</v>
      </c>
    </row>
    <row r="108" spans="1:10" ht="99.75" hidden="1" customHeight="1">
      <c r="A108" s="203" t="str">
        <f>'1. ALL DATA'!A109</f>
        <v>PSC22</v>
      </c>
      <c r="B108" s="415" t="str">
        <f>'1. ALL DATA'!C109</f>
        <v>Reduce the number of Empty homes</v>
      </c>
      <c r="C108" s="416" t="str">
        <f>'1. ALL DATA'!D109</f>
        <v>Produce a business plan to tackle empty homes 
(July 2017)</v>
      </c>
      <c r="D108" s="145" t="str">
        <f>'1. ALL DATA'!H109</f>
        <v>On Track to be Achieved</v>
      </c>
      <c r="E108" s="220" t="s">
        <v>243</v>
      </c>
      <c r="F108" s="145" t="str">
        <f>'1. ALL DATA'!M109</f>
        <v>Fully Achieved</v>
      </c>
      <c r="G108" s="220" t="s">
        <v>243</v>
      </c>
      <c r="H108" s="145" t="str">
        <f>'1. ALL DATA'!R109</f>
        <v>Fully Achieved</v>
      </c>
      <c r="I108" s="220"/>
      <c r="J108" s="145" t="str">
        <f>'1. ALL DATA'!V109</f>
        <v>Update not Provided</v>
      </c>
    </row>
    <row r="109" spans="1:10" ht="99.75" hidden="1" customHeight="1">
      <c r="A109" s="203" t="str">
        <f>'1. ALL DATA'!A110</f>
        <v>PSC23</v>
      </c>
      <c r="B109" s="415" t="str">
        <f>'1. ALL DATA'!C110</f>
        <v>Introduce a Jam Jar scheme</v>
      </c>
      <c r="C109" s="416" t="str">
        <f>'1. ALL DATA'!D110</f>
        <v>Produce business plan to inform delivery options 
(May 2017)</v>
      </c>
      <c r="D109" s="145" t="str">
        <f>'1. ALL DATA'!H110</f>
        <v>Fully Achieved</v>
      </c>
      <c r="E109" s="220" t="s">
        <v>243</v>
      </c>
      <c r="F109" s="145" t="str">
        <f>'1. ALL DATA'!M110</f>
        <v>Fully Achieved</v>
      </c>
      <c r="G109" s="220" t="s">
        <v>243</v>
      </c>
      <c r="H109" s="145" t="str">
        <f>'1. ALL DATA'!R110</f>
        <v>Fully Achieved</v>
      </c>
      <c r="I109" s="220"/>
      <c r="J109" s="145" t="str">
        <f>'1. ALL DATA'!V110</f>
        <v>Update not Provided</v>
      </c>
    </row>
    <row r="110" spans="1:10" ht="99.75" hidden="1" customHeight="1">
      <c r="A110" s="203" t="str">
        <f>'1. ALL DATA'!A111</f>
        <v>PSC24</v>
      </c>
      <c r="B110" s="415" t="str">
        <f>'1. ALL DATA'!C111</f>
        <v xml:space="preserve">Deliver County Council Election </v>
      </c>
      <c r="C110" s="416" t="str">
        <f>'1. ALL DATA'!D111</f>
        <v>Complete in accordance with statutory requirements</v>
      </c>
      <c r="D110" s="145" t="str">
        <f>'1. ALL DATA'!H111</f>
        <v>Fully Achieved</v>
      </c>
      <c r="E110" s="220" t="s">
        <v>243</v>
      </c>
      <c r="F110" s="145" t="str">
        <f>'1. ALL DATA'!M111</f>
        <v>Fully Achieved</v>
      </c>
      <c r="G110" s="220" t="s">
        <v>243</v>
      </c>
      <c r="H110" s="145" t="str">
        <f>'1. ALL DATA'!R111</f>
        <v>Fully Achieved</v>
      </c>
      <c r="I110" s="220"/>
      <c r="J110" s="145" t="str">
        <f>'1. ALL DATA'!V111</f>
        <v>Update not Provided</v>
      </c>
    </row>
    <row r="111" spans="1:10" ht="99.75" hidden="1" customHeight="1">
      <c r="A111" s="203" t="str">
        <f>'1. ALL DATA'!A112</f>
        <v>PSC25</v>
      </c>
      <c r="B111" s="415" t="str">
        <f>'1. ALL DATA'!C112</f>
        <v xml:space="preserve">To Carry Out Necessary Work With Reference to Planning Legislative Changes </v>
      </c>
      <c r="C111" s="416" t="str">
        <f>'1. ALL DATA'!D112</f>
        <v>Completed in accordance with any legislative changes and requirements
(March 2018)</v>
      </c>
      <c r="D111" s="145" t="str">
        <f>'1. ALL DATA'!H112</f>
        <v>On Track to be Achieved</v>
      </c>
      <c r="E111" s="220" t="s">
        <v>243</v>
      </c>
      <c r="F111" s="145" t="str">
        <f>'1. ALL DATA'!M112</f>
        <v>On Track to be Achieved</v>
      </c>
      <c r="G111" s="220" t="s">
        <v>243</v>
      </c>
      <c r="H111" s="145" t="str">
        <f>'1. ALL DATA'!R112</f>
        <v>On Track to be Achieved</v>
      </c>
      <c r="I111" s="220"/>
      <c r="J111" s="145" t="str">
        <f>'1. ALL DATA'!V112</f>
        <v>Update not Provided</v>
      </c>
    </row>
    <row r="112" spans="1:10" ht="99.75" hidden="1" customHeight="1">
      <c r="A112" s="203" t="str">
        <f>'1. ALL DATA'!A113</f>
        <v>PSC26</v>
      </c>
      <c r="B112" s="415" t="str">
        <f>'1. ALL DATA'!C113</f>
        <v xml:space="preserve">Monitor Local Plan Performance </v>
      </c>
      <c r="C112" s="416" t="str">
        <f>'1. ALL DATA'!D113</f>
        <v xml:space="preserve">Two Progress Reports during the year </v>
      </c>
      <c r="D112" s="145" t="str">
        <f>'1. ALL DATA'!H113</f>
        <v>On Track to be Achieved</v>
      </c>
      <c r="E112" s="220" t="s">
        <v>243</v>
      </c>
      <c r="F112" s="145" t="str">
        <f>'1. ALL DATA'!M113</f>
        <v>On Track to be Achieved</v>
      </c>
      <c r="G112" s="220" t="s">
        <v>243</v>
      </c>
      <c r="H112" s="145" t="str">
        <f>'1. ALL DATA'!R113</f>
        <v>On Track to be Achieved</v>
      </c>
      <c r="I112" s="220"/>
      <c r="J112" s="145" t="str">
        <f>'1. ALL DATA'!V113</f>
        <v>Update not Provided</v>
      </c>
    </row>
    <row r="113" spans="1:10" ht="99.75" hidden="1" customHeight="1">
      <c r="A113" s="203" t="str">
        <f>'1. ALL DATA'!A114</f>
        <v>PSC27</v>
      </c>
      <c r="B113" s="415" t="str">
        <f>'1. ALL DATA'!C114</f>
        <v>Regenerating East Staffordshire Town Centres</v>
      </c>
      <c r="C113" s="416" t="str">
        <f>'1. ALL DATA'!D114</f>
        <v>Hold Stakeholder Workshop
(June 2017)</v>
      </c>
      <c r="D113" s="145" t="str">
        <f>'1. ALL DATA'!H114</f>
        <v>Completed Behind Schedule</v>
      </c>
      <c r="E113" s="220" t="s">
        <v>243</v>
      </c>
      <c r="F113" s="145" t="str">
        <f>'1. ALL DATA'!M114</f>
        <v>Completed Behind Schedule</v>
      </c>
      <c r="G113" s="220" t="s">
        <v>243</v>
      </c>
      <c r="H113" s="145" t="str">
        <f>'1. ALL DATA'!R114</f>
        <v>Completed Behind Schedule</v>
      </c>
      <c r="I113" s="220"/>
      <c r="J113" s="145" t="str">
        <f>'1. ALL DATA'!V114</f>
        <v>Update not Provided</v>
      </c>
    </row>
    <row r="114" spans="1:10" ht="99.75" hidden="1" customHeight="1">
      <c r="A114" s="203" t="str">
        <f>'1. ALL DATA'!A115</f>
        <v>PSC28</v>
      </c>
      <c r="B114" s="415" t="str">
        <f>'1. ALL DATA'!C115</f>
        <v>Regenerating East Staffordshire Town Centres</v>
      </c>
      <c r="C114" s="416" t="str">
        <f>'1. ALL DATA'!D115</f>
        <v>Deliver the ESTCR Programme and report against progress on a quarterly basis
(March 2018)</v>
      </c>
      <c r="D114" s="145" t="str">
        <f>'1. ALL DATA'!H115</f>
        <v>On Track to be Achieved</v>
      </c>
      <c r="E114" s="220" t="s">
        <v>243</v>
      </c>
      <c r="F114" s="145" t="str">
        <f>'1. ALL DATA'!M115</f>
        <v>On Track to be Achieved</v>
      </c>
      <c r="G114" s="220" t="s">
        <v>243</v>
      </c>
      <c r="H114" s="145" t="str">
        <f>'1. ALL DATA'!R115</f>
        <v>On Track to be Achieved</v>
      </c>
      <c r="I114" s="220"/>
      <c r="J114" s="145" t="str">
        <f>'1. ALL DATA'!V115</f>
        <v>Update not Provided</v>
      </c>
    </row>
    <row r="115" spans="1:10" ht="99.75" hidden="1" customHeight="1">
      <c r="A115" s="203" t="str">
        <f>'1. ALL DATA'!A116</f>
        <v>PSC29</v>
      </c>
      <c r="B115" s="415" t="str">
        <f>'1. ALL DATA'!C116</f>
        <v>Delivery of Strategic Sites</v>
      </c>
      <c r="C115" s="416" t="str">
        <f>'1. ALL DATA'!D116</f>
        <v>Two Progress Reports during the year</v>
      </c>
      <c r="D115" s="145" t="str">
        <f>'1. ALL DATA'!H116</f>
        <v>On Track to be Achieved</v>
      </c>
      <c r="E115" s="220" t="s">
        <v>243</v>
      </c>
      <c r="F115" s="145" t="str">
        <f>'1. ALL DATA'!M116</f>
        <v>On Track to be Achieved</v>
      </c>
      <c r="G115" s="220" t="s">
        <v>243</v>
      </c>
      <c r="H115" s="145" t="str">
        <f>'1. ALL DATA'!R116</f>
        <v>On Track to be Achieved</v>
      </c>
      <c r="I115" s="220"/>
      <c r="J115" s="145" t="str">
        <f>'1. ALL DATA'!V116</f>
        <v>Update not Provided</v>
      </c>
    </row>
    <row r="116" spans="1:10" s="34" customFormat="1" ht="141.75" hidden="1">
      <c r="A116" s="203" t="str">
        <f>'1. ALL DATA'!A117</f>
        <v>PSC30</v>
      </c>
      <c r="B116" s="415" t="str">
        <f>'1. ALL DATA'!C117</f>
        <v>Host a Tourism Consultation Event</v>
      </c>
      <c r="C116" s="416" t="str">
        <f>'1. ALL DATA'!D117</f>
        <v>Working with the Destination Management Partnership, host an event to understand needs of local tourism businesses 
(March 2018)</v>
      </c>
      <c r="D116" s="145" t="str">
        <f>'1. ALL DATA'!H117</f>
        <v>On Track to be Achieved</v>
      </c>
      <c r="E116" s="220" t="s">
        <v>243</v>
      </c>
      <c r="F116" s="145" t="str">
        <f>'1. ALL DATA'!M117</f>
        <v>On Track to be Achieved</v>
      </c>
      <c r="G116" s="220" t="s">
        <v>243</v>
      </c>
      <c r="H116" s="145" t="str">
        <f>'1. ALL DATA'!R117</f>
        <v>On Track to be Achieved</v>
      </c>
      <c r="I116" s="220"/>
      <c r="J116" s="145" t="str">
        <f>'1. ALL DATA'!V117</f>
        <v>Update not Provided</v>
      </c>
    </row>
    <row r="117" spans="1:10" s="34" customFormat="1" ht="141.75" hidden="1">
      <c r="A117" s="203" t="str">
        <f>'1. ALL DATA'!A118</f>
        <v>PSC31</v>
      </c>
      <c r="B117" s="415" t="str">
        <f>'1. ALL DATA'!C118</f>
        <v>Appraise The Value Of Digital Marketing To Support The Local Tourism Industry</v>
      </c>
      <c r="C117" s="416" t="str">
        <f>'1. ALL DATA'!D118</f>
        <v>Working with the Destination Management Partnership and the National Forest, complete an appraisal of digital marketing 
(March 2018)</v>
      </c>
      <c r="D117" s="145" t="str">
        <f>'1. ALL DATA'!H118</f>
        <v>On Track to be Achieved</v>
      </c>
      <c r="E117" s="220" t="s">
        <v>243</v>
      </c>
      <c r="F117" s="145" t="str">
        <f>'1. ALL DATA'!M118</f>
        <v>On Track to be Achieved</v>
      </c>
      <c r="G117" s="220" t="s">
        <v>243</v>
      </c>
      <c r="H117" s="145" t="str">
        <f>'1. ALL DATA'!R118</f>
        <v>On Track to be Achieved</v>
      </c>
      <c r="I117" s="417"/>
      <c r="J117" s="145" t="str">
        <f>'1. ALL DATA'!V118</f>
        <v>Update not Provided</v>
      </c>
    </row>
    <row r="118" spans="1:10" s="34" customFormat="1" ht="110.25" hidden="1">
      <c r="A118" s="203" t="str">
        <f>'1. ALL DATA'!A119</f>
        <v>PSC32</v>
      </c>
      <c r="B118" s="415" t="str">
        <f>'1. ALL DATA'!C119</f>
        <v>“No Smoking” Zones In Children’s Play Areas</v>
      </c>
      <c r="C118" s="416" t="str">
        <f>'1. ALL DATA'!D119</f>
        <v>Complete an investigation into where it would be appropriate to introduce such measures 
(November 2017)</v>
      </c>
      <c r="D118" s="145" t="str">
        <f>'1. ALL DATA'!H119</f>
        <v>On Track to be Achieved</v>
      </c>
      <c r="E118" s="220" t="s">
        <v>243</v>
      </c>
      <c r="F118" s="145" t="str">
        <f>'1. ALL DATA'!M119</f>
        <v>Fully Achieved</v>
      </c>
      <c r="G118" s="220" t="s">
        <v>243</v>
      </c>
      <c r="H118" s="145" t="str">
        <f>'1. ALL DATA'!R119</f>
        <v>Fully Achieved</v>
      </c>
      <c r="I118" s="417"/>
      <c r="J118" s="145" t="str">
        <f>'1. ALL DATA'!V119</f>
        <v>Update not Provided</v>
      </c>
    </row>
    <row r="119" spans="1:10" s="34" customFormat="1" ht="110.25" hidden="1">
      <c r="A119" s="203" t="str">
        <f>'1. ALL DATA'!A120</f>
        <v>PSC33</v>
      </c>
      <c r="B119" s="415" t="str">
        <f>'1. ALL DATA'!C120</f>
        <v>“No Smoking” Zones In Town Centre Areas</v>
      </c>
      <c r="C119" s="416" t="str">
        <f>'1. ALL DATA'!D120</f>
        <v>Complete an investigation into where it would be appropriate to introduce such measures 
(March 2018)</v>
      </c>
      <c r="D119" s="145" t="str">
        <f>'1. ALL DATA'!H120</f>
        <v>On Track to be Achieved</v>
      </c>
      <c r="E119" s="220" t="s">
        <v>243</v>
      </c>
      <c r="F119" s="145" t="str">
        <f>'1. ALL DATA'!M120</f>
        <v>Fully Achieved</v>
      </c>
      <c r="G119" s="220" t="s">
        <v>243</v>
      </c>
      <c r="H119" s="145" t="str">
        <f>'1. ALL DATA'!R120</f>
        <v>Fully Achieved</v>
      </c>
      <c r="I119" s="417"/>
      <c r="J119" s="145" t="str">
        <f>'1. ALL DATA'!V120</f>
        <v>Update not Provided</v>
      </c>
    </row>
    <row r="120" spans="1:10" s="34" customFormat="1" ht="87.75" hidden="1">
      <c r="A120" s="203" t="str">
        <f>'1. ALL DATA'!A121</f>
        <v>PSC34</v>
      </c>
      <c r="B120" s="415" t="str">
        <f>'1. ALL DATA'!C121</f>
        <v>Build on “Great British Spring Clean”</v>
      </c>
      <c r="C120" s="416" t="str">
        <f>'1. ALL DATA'!D121</f>
        <v>Complete a community engagement plan 
(November 2017)</v>
      </c>
      <c r="D120" s="145" t="str">
        <f>'1. ALL DATA'!H121</f>
        <v>On Track to be Achieved</v>
      </c>
      <c r="E120" s="220" t="s">
        <v>243</v>
      </c>
      <c r="F120" s="145" t="str">
        <f>'1. ALL DATA'!M121</f>
        <v>On Track to be Achieved</v>
      </c>
      <c r="G120" s="220" t="s">
        <v>243</v>
      </c>
      <c r="H120" s="145" t="str">
        <f>'1. ALL DATA'!R121</f>
        <v>On Track to be Achieved</v>
      </c>
      <c r="I120" s="417"/>
      <c r="J120" s="145" t="str">
        <f>'1. ALL DATA'!V121</f>
        <v>Update not Provided</v>
      </c>
    </row>
    <row r="121" spans="1:10" s="34" customFormat="1" ht="87.75" hidden="1">
      <c r="A121" s="203" t="str">
        <f>'1. ALL DATA'!A122</f>
        <v>PSC35</v>
      </c>
      <c r="B121" s="415" t="str">
        <f>'1. ALL DATA'!C122</f>
        <v>Selective Licensing Pilot</v>
      </c>
      <c r="C121" s="416" t="str">
        <f>'1. ALL DATA'!D122</f>
        <v>Launch a pilot scheme in the area of focus 
(October 2017)</v>
      </c>
      <c r="D121" s="145" t="str">
        <f>'1. ALL DATA'!H122</f>
        <v>On Track to be Achieved</v>
      </c>
      <c r="E121" s="220" t="s">
        <v>243</v>
      </c>
      <c r="F121" s="145" t="str">
        <f>'1. ALL DATA'!M122</f>
        <v>Fully Achieved</v>
      </c>
      <c r="G121" s="220" t="s">
        <v>243</v>
      </c>
      <c r="H121" s="145" t="str">
        <f>'1. ALL DATA'!R122</f>
        <v>Fully Achieved</v>
      </c>
      <c r="I121" s="417"/>
      <c r="J121" s="145" t="str">
        <f>'1. ALL DATA'!V122</f>
        <v>Update not Provided</v>
      </c>
    </row>
    <row r="122" spans="1:10" s="34" customFormat="1" ht="94.5" hidden="1">
      <c r="A122" s="203" t="str">
        <f>'1. ALL DATA'!A123</f>
        <v>PSC36</v>
      </c>
      <c r="B122" s="415" t="str">
        <f>'1. ALL DATA'!C123</f>
        <v>Car Cruising Monitoring</v>
      </c>
      <c r="C122" s="416" t="str">
        <f>'1. ALL DATA'!D123</f>
        <v>Understand any positive and negative impacts of any such events through 2017/18 
(March 2018)</v>
      </c>
      <c r="D122" s="145" t="str">
        <f>'1. ALL DATA'!H123</f>
        <v>Not yet due</v>
      </c>
      <c r="E122" s="397" t="s">
        <v>48</v>
      </c>
      <c r="F122" s="145" t="str">
        <f>'1. ALL DATA'!M123</f>
        <v>Not yet due</v>
      </c>
      <c r="G122" s="397" t="s">
        <v>48</v>
      </c>
      <c r="H122" s="145" t="str">
        <f>'1. ALL DATA'!R123</f>
        <v>Fully Achieved</v>
      </c>
      <c r="I122" s="417"/>
      <c r="J122" s="145" t="str">
        <f>'1. ALL DATA'!V123</f>
        <v>Update not Provided</v>
      </c>
    </row>
    <row r="123" spans="1:10" s="34" customFormat="1">
      <c r="C123" s="44"/>
    </row>
    <row r="124" spans="1:10" s="34" customFormat="1">
      <c r="C124" s="44"/>
    </row>
    <row r="125" spans="1:10" s="34" customFormat="1">
      <c r="C125" s="44"/>
    </row>
    <row r="126" spans="1:10" s="34" customFormat="1">
      <c r="C126" s="44"/>
    </row>
    <row r="127" spans="1:10" s="34" customFormat="1">
      <c r="C127" s="44"/>
    </row>
    <row r="128" spans="1:10" s="34" customFormat="1">
      <c r="C128" s="44"/>
    </row>
    <row r="129" spans="3:3" s="34" customFormat="1">
      <c r="C129" s="44"/>
    </row>
    <row r="130" spans="3:3" s="34" customFormat="1">
      <c r="C130" s="44"/>
    </row>
    <row r="131" spans="3:3" s="34" customFormat="1">
      <c r="C131" s="44"/>
    </row>
    <row r="132" spans="3:3" s="34" customFormat="1">
      <c r="C132" s="44"/>
    </row>
    <row r="133" spans="3:3" s="34" customFormat="1">
      <c r="C133" s="44"/>
    </row>
    <row r="134" spans="3:3" s="34" customFormat="1">
      <c r="C134" s="44"/>
    </row>
    <row r="135" spans="3:3" s="34" customFormat="1">
      <c r="C135" s="44"/>
    </row>
    <row r="136" spans="3:3" s="34" customFormat="1">
      <c r="C136" s="44"/>
    </row>
    <row r="137" spans="3:3" s="34" customFormat="1">
      <c r="C137" s="44"/>
    </row>
    <row r="138" spans="3:3" s="34" customFormat="1">
      <c r="C138" s="44"/>
    </row>
    <row r="139" spans="3:3" s="34" customFormat="1">
      <c r="C139" s="44"/>
    </row>
    <row r="140" spans="3:3" s="34" customFormat="1">
      <c r="C140" s="44"/>
    </row>
    <row r="141" spans="3:3" s="34" customFormat="1">
      <c r="C141" s="44"/>
    </row>
    <row r="142" spans="3:3" s="34" customFormat="1">
      <c r="C142" s="44"/>
    </row>
    <row r="143" spans="3:3" s="34" customFormat="1">
      <c r="C143" s="44"/>
    </row>
    <row r="144" spans="3:3" s="34" customFormat="1">
      <c r="C144" s="44"/>
    </row>
    <row r="145" spans="3:3" s="34" customFormat="1">
      <c r="C145" s="44"/>
    </row>
    <row r="146" spans="3:3" s="34" customFormat="1">
      <c r="C146" s="44"/>
    </row>
    <row r="147" spans="3:3" s="34" customFormat="1">
      <c r="C147" s="44"/>
    </row>
    <row r="148" spans="3:3" s="34" customFormat="1">
      <c r="C148" s="44"/>
    </row>
    <row r="149" spans="3:3">
      <c r="C149" s="44"/>
    </row>
  </sheetData>
  <sheetProtection autoFilter="0"/>
  <autoFilter ref="A2:J122"/>
  <conditionalFormatting sqref="V85">
    <cfRule type="containsText" dxfId="4039" priority="5198" operator="containsText" text="Numerical Outturn Within 10% Tolerance">
      <formula>NOT(ISERROR(SEARCH("Numerical Outturn Within 10% Tolerance",V85)))</formula>
    </cfRule>
    <cfRule type="containsText" dxfId="4038" priority="5199" operator="containsText" text="Numerical Outturn Within 5% Tolerance">
      <formula>NOT(ISERROR(SEARCH("Numerical Outturn Within 5% Tolerance",V85)))</formula>
    </cfRule>
    <cfRule type="containsText" dxfId="4037" priority="5200" operator="containsText" text="Target Achieved / Exceeded">
      <formula>NOT(ISERROR(SEARCH("Target Achieved / Exceeded",V85)))</formula>
    </cfRule>
    <cfRule type="containsText" dxfId="4036" priority="5201" operator="containsText" text="Full Update Not Yet Available">
      <formula>NOT(ISERROR(SEARCH("Full Update Not Yet Available",V85)))</formula>
    </cfRule>
    <cfRule type="containsText" dxfId="4035" priority="5202" operator="containsText" text="Full Update Not Yet Available">
      <formula>NOT(ISERROR(SEARCH("Full Update Not Yet Available",V85)))</formula>
    </cfRule>
  </conditionalFormatting>
  <conditionalFormatting sqref="M85 R85">
    <cfRule type="containsText" dxfId="4034" priority="5169" operator="containsText" text="Deferred">
      <formula>NOT(ISERROR(SEARCH("Deferred",M85)))</formula>
    </cfRule>
  </conditionalFormatting>
  <conditionalFormatting sqref="I4:I20 I102:I116 D4:D122 H4:H122 J4:J122 I66:I100 I22:I64 F4:F122 E24 E86 E29:E31 E33:E34 E36:E37 E39:E40 E42:E43 E48 E51 E55 E62:E63 E71:E74 E76 E84 E89 E95 E97:E101 G30 G43 G51 G55 G63 G71:G73 G76 G86 G89 G101">
    <cfRule type="containsText" dxfId="4033" priority="5151" operator="containsText" text="On track to be achieved">
      <formula>NOT(ISERROR(SEARCH("On track to be achieved",D4)))</formula>
    </cfRule>
    <cfRule type="containsText" dxfId="4032" priority="5164" operator="containsText" text="Deferred">
      <formula>NOT(ISERROR(SEARCH("Deferred",D4)))</formula>
    </cfRule>
    <cfRule type="containsText" dxfId="4031" priority="5165" operator="containsText" text="Deleted">
      <formula>NOT(ISERROR(SEARCH("Deleted",D4)))</formula>
    </cfRule>
    <cfRule type="containsText" dxfId="4030" priority="5166" operator="containsText" text="In Danger of Falling Behind Target">
      <formula>NOT(ISERROR(SEARCH("In Danger of Falling Behind Target",D4)))</formula>
    </cfRule>
    <cfRule type="containsText" dxfId="4029" priority="5167" operator="containsText" text="Not yet due">
      <formula>NOT(ISERROR(SEARCH("Not yet due",D4)))</formula>
    </cfRule>
    <cfRule type="containsText" dxfId="4028" priority="5170" operator="containsText" text="Update not Provided">
      <formula>NOT(ISERROR(SEARCH("Update not Provided",D4)))</formula>
    </cfRule>
    <cfRule type="containsText" dxfId="4027" priority="5171" operator="containsText" text="Not yet due">
      <formula>NOT(ISERROR(SEARCH("Not yet due",D4)))</formula>
    </cfRule>
    <cfRule type="containsText" dxfId="4026" priority="5172" operator="containsText" text="Completed Behind Schedule">
      <formula>NOT(ISERROR(SEARCH("Completed Behind Schedule",D4)))</formula>
    </cfRule>
    <cfRule type="containsText" dxfId="4025" priority="5173" operator="containsText" text="Off Target">
      <formula>NOT(ISERROR(SEARCH("Off Target",D4)))</formula>
    </cfRule>
    <cfRule type="containsText" dxfId="4024" priority="5174" operator="containsText" text="On Track to be Achieved">
      <formula>NOT(ISERROR(SEARCH("On Track to be Achieved",D4)))</formula>
    </cfRule>
    <cfRule type="containsText" dxfId="4023" priority="5175" operator="containsText" text="Fully Achieved">
      <formula>NOT(ISERROR(SEARCH("Fully Achieved",D4)))</formula>
    </cfRule>
    <cfRule type="containsText" dxfId="4022" priority="5176" operator="containsText" text="Not yet due">
      <formula>NOT(ISERROR(SEARCH("Not yet due",D4)))</formula>
    </cfRule>
    <cfRule type="containsText" dxfId="4021" priority="5177" operator="containsText" text="Not Yet Due">
      <formula>NOT(ISERROR(SEARCH("Not Yet Due",D4)))</formula>
    </cfRule>
    <cfRule type="containsText" dxfId="4020" priority="5178" operator="containsText" text="Deferred">
      <formula>NOT(ISERROR(SEARCH("Deferred",D4)))</formula>
    </cfRule>
    <cfRule type="containsText" dxfId="4019" priority="5179" operator="containsText" text="Deleted">
      <formula>NOT(ISERROR(SEARCH("Deleted",D4)))</formula>
    </cfRule>
    <cfRule type="containsText" dxfId="4018" priority="5180" operator="containsText" text="In Danger of Falling Behind Target">
      <formula>NOT(ISERROR(SEARCH("In Danger of Falling Behind Target",D4)))</formula>
    </cfRule>
    <cfRule type="containsText" dxfId="4017" priority="5181" operator="containsText" text="Not yet due">
      <formula>NOT(ISERROR(SEARCH("Not yet due",D4)))</formula>
    </cfRule>
    <cfRule type="containsText" dxfId="4016" priority="5183" operator="containsText" text="Completed Behind Schedule">
      <formula>NOT(ISERROR(SEARCH("Completed Behind Schedule",D4)))</formula>
    </cfRule>
    <cfRule type="containsText" dxfId="4015" priority="5184" operator="containsText" text="Off Target">
      <formula>NOT(ISERROR(SEARCH("Off Target",D4)))</formula>
    </cfRule>
    <cfRule type="containsText" dxfId="4014" priority="5185" operator="containsText" text="In Danger of Falling Behind Target">
      <formula>NOT(ISERROR(SEARCH("In Danger of Falling Behind Target",D4)))</formula>
    </cfRule>
    <cfRule type="containsText" dxfId="4013" priority="5186" operator="containsText" text="On Track to be Achieved">
      <formula>NOT(ISERROR(SEARCH("On Track to be Achieved",D4)))</formula>
    </cfRule>
    <cfRule type="containsText" dxfId="4012" priority="5187" operator="containsText" text="Fully Achieved">
      <formula>NOT(ISERROR(SEARCH("Fully Achieved",D4)))</formula>
    </cfRule>
    <cfRule type="containsText" dxfId="4011" priority="5203" operator="containsText" text="Update not Provided">
      <formula>NOT(ISERROR(SEARCH("Update not Provided",D4)))</formula>
    </cfRule>
    <cfRule type="containsText" dxfId="4010" priority="5204" operator="containsText" text="Not yet due">
      <formula>NOT(ISERROR(SEARCH("Not yet due",D4)))</formula>
    </cfRule>
    <cfRule type="containsText" dxfId="4009" priority="5205" operator="containsText" text="Completed Behind Schedule">
      <formula>NOT(ISERROR(SEARCH("Completed Behind Schedule",D4)))</formula>
    </cfRule>
    <cfRule type="containsText" dxfId="4008" priority="5206" operator="containsText" text="Off Target">
      <formula>NOT(ISERROR(SEARCH("Off Target",D4)))</formula>
    </cfRule>
    <cfRule type="containsText" dxfId="4007" priority="5207" operator="containsText" text="In Danger of Falling Behind Target">
      <formula>NOT(ISERROR(SEARCH("In Danger of Falling Behind Target",D4)))</formula>
    </cfRule>
    <cfRule type="containsText" dxfId="4006" priority="5208" operator="containsText" text="On Track to be Achieved">
      <formula>NOT(ISERROR(SEARCH("On Track to be Achieved",D4)))</formula>
    </cfRule>
    <cfRule type="containsText" dxfId="4005" priority="5209" operator="containsText" text="Fully Achieved">
      <formula>NOT(ISERROR(SEARCH("Fully Achieved",D4)))</formula>
    </cfRule>
    <cfRule type="containsText" dxfId="4004" priority="5210" operator="containsText" text="Fully Achieved">
      <formula>NOT(ISERROR(SEARCH("Fully Achieved",D4)))</formula>
    </cfRule>
    <cfRule type="containsText" dxfId="4003" priority="5211" operator="containsText" text="Fully Achieved">
      <formula>NOT(ISERROR(SEARCH("Fully Achieved",D4)))</formula>
    </cfRule>
    <cfRule type="containsText" dxfId="4002" priority="5231" operator="containsText" text="Deferred">
      <formula>NOT(ISERROR(SEARCH("Deferred",D4)))</formula>
    </cfRule>
    <cfRule type="containsText" dxfId="4001" priority="5232" operator="containsText" text="Deleted">
      <formula>NOT(ISERROR(SEARCH("Deleted",D4)))</formula>
    </cfRule>
    <cfRule type="containsText" dxfId="4000" priority="5233" operator="containsText" text="In Danger of Falling Behind Target">
      <formula>NOT(ISERROR(SEARCH("In Danger of Falling Behind Target",D4)))</formula>
    </cfRule>
    <cfRule type="containsText" dxfId="3999" priority="5234" operator="containsText" text="Not yet due">
      <formula>NOT(ISERROR(SEARCH("Not yet due",D4)))</formula>
    </cfRule>
    <cfRule type="containsText" dxfId="3998" priority="5235" operator="containsText" text="Update not Provided">
      <formula>NOT(ISERROR(SEARCH("Update not Provided",D4)))</formula>
    </cfRule>
  </conditionalFormatting>
  <conditionalFormatting sqref="Y5:Y6">
    <cfRule type="containsText" dxfId="3997" priority="5115" operator="containsText" text="On track to be achieved">
      <formula>NOT(ISERROR(SEARCH("On track to be achieved",Y5)))</formula>
    </cfRule>
    <cfRule type="containsText" dxfId="3996" priority="5116" operator="containsText" text="Deferred">
      <formula>NOT(ISERROR(SEARCH("Deferred",Y5)))</formula>
    </cfRule>
    <cfRule type="containsText" dxfId="3995" priority="5117" operator="containsText" text="Deleted">
      <formula>NOT(ISERROR(SEARCH("Deleted",Y5)))</formula>
    </cfRule>
    <cfRule type="containsText" dxfId="3994" priority="5118" operator="containsText" text="In Danger of Falling Behind Target">
      <formula>NOT(ISERROR(SEARCH("In Danger of Falling Behind Target",Y5)))</formula>
    </cfRule>
    <cfRule type="containsText" dxfId="3993" priority="5119" operator="containsText" text="Not yet due">
      <formula>NOT(ISERROR(SEARCH("Not yet due",Y5)))</formula>
    </cfRule>
    <cfRule type="containsText" dxfId="3992" priority="5120" operator="containsText" text="Update not Provided">
      <formula>NOT(ISERROR(SEARCH("Update not Provided",Y5)))</formula>
    </cfRule>
    <cfRule type="containsText" dxfId="3991" priority="5121" operator="containsText" text="Not yet due">
      <formula>NOT(ISERROR(SEARCH("Not yet due",Y5)))</formula>
    </cfRule>
    <cfRule type="containsText" dxfId="3990" priority="5122" operator="containsText" text="Completed Behind Schedule">
      <formula>NOT(ISERROR(SEARCH("Completed Behind Schedule",Y5)))</formula>
    </cfRule>
    <cfRule type="containsText" dxfId="3989" priority="5123" operator="containsText" text="Off Target">
      <formula>NOT(ISERROR(SEARCH("Off Target",Y5)))</formula>
    </cfRule>
    <cfRule type="containsText" dxfId="3988" priority="5124" operator="containsText" text="On Track to be Achieved">
      <formula>NOT(ISERROR(SEARCH("On Track to be Achieved",Y5)))</formula>
    </cfRule>
    <cfRule type="containsText" dxfId="3987" priority="5125" operator="containsText" text="Fully Achieved">
      <formula>NOT(ISERROR(SEARCH("Fully Achieved",Y5)))</formula>
    </cfRule>
    <cfRule type="containsText" dxfId="3986" priority="5126" operator="containsText" text="Not yet due">
      <formula>NOT(ISERROR(SEARCH("Not yet due",Y5)))</formula>
    </cfRule>
    <cfRule type="containsText" dxfId="3985" priority="5127" operator="containsText" text="Not Yet Due">
      <formula>NOT(ISERROR(SEARCH("Not Yet Due",Y5)))</formula>
    </cfRule>
    <cfRule type="containsText" dxfId="3984" priority="5128" operator="containsText" text="Deferred">
      <formula>NOT(ISERROR(SEARCH("Deferred",Y5)))</formula>
    </cfRule>
    <cfRule type="containsText" dxfId="3983" priority="5129" operator="containsText" text="Deleted">
      <formula>NOT(ISERROR(SEARCH("Deleted",Y5)))</formula>
    </cfRule>
    <cfRule type="containsText" dxfId="3982" priority="5130" operator="containsText" text="In Danger of Falling Behind Target">
      <formula>NOT(ISERROR(SEARCH("In Danger of Falling Behind Target",Y5)))</formula>
    </cfRule>
    <cfRule type="containsText" dxfId="3981" priority="5131" operator="containsText" text="Not yet due">
      <formula>NOT(ISERROR(SEARCH("Not yet due",Y5)))</formula>
    </cfRule>
    <cfRule type="containsText" dxfId="3980" priority="5132" operator="containsText" text="Completed Behind Schedule">
      <formula>NOT(ISERROR(SEARCH("Completed Behind Schedule",Y5)))</formula>
    </cfRule>
    <cfRule type="containsText" dxfId="3979" priority="5133" operator="containsText" text="Off Target">
      <formula>NOT(ISERROR(SEARCH("Off Target",Y5)))</formula>
    </cfRule>
    <cfRule type="containsText" dxfId="3978" priority="5134" operator="containsText" text="In Danger of Falling Behind Target">
      <formula>NOT(ISERROR(SEARCH("In Danger of Falling Behind Target",Y5)))</formula>
    </cfRule>
    <cfRule type="containsText" dxfId="3977" priority="5135" operator="containsText" text="On Track to be Achieved">
      <formula>NOT(ISERROR(SEARCH("On Track to be Achieved",Y5)))</formula>
    </cfRule>
    <cfRule type="containsText" dxfId="3976" priority="5136" operator="containsText" text="Fully Achieved">
      <formula>NOT(ISERROR(SEARCH("Fully Achieved",Y5)))</formula>
    </cfRule>
    <cfRule type="containsText" dxfId="3975" priority="5137" operator="containsText" text="Update not Provided">
      <formula>NOT(ISERROR(SEARCH("Update not Provided",Y5)))</formula>
    </cfRule>
    <cfRule type="containsText" dxfId="3974" priority="5138" operator="containsText" text="Not yet due">
      <formula>NOT(ISERROR(SEARCH("Not yet due",Y5)))</formula>
    </cfRule>
    <cfRule type="containsText" dxfId="3973" priority="5139" operator="containsText" text="Completed Behind Schedule">
      <formula>NOT(ISERROR(SEARCH("Completed Behind Schedule",Y5)))</formula>
    </cfRule>
    <cfRule type="containsText" dxfId="3972" priority="5140" operator="containsText" text="Off Target">
      <formula>NOT(ISERROR(SEARCH("Off Target",Y5)))</formula>
    </cfRule>
    <cfRule type="containsText" dxfId="3971" priority="5141" operator="containsText" text="In Danger of Falling Behind Target">
      <formula>NOT(ISERROR(SEARCH("In Danger of Falling Behind Target",Y5)))</formula>
    </cfRule>
    <cfRule type="containsText" dxfId="3970" priority="5142" operator="containsText" text="On Track to be Achieved">
      <formula>NOT(ISERROR(SEARCH("On Track to be Achieved",Y5)))</formula>
    </cfRule>
    <cfRule type="containsText" dxfId="3969" priority="5143" operator="containsText" text="Fully Achieved">
      <formula>NOT(ISERROR(SEARCH("Fully Achieved",Y5)))</formula>
    </cfRule>
    <cfRule type="containsText" dxfId="3968" priority="5144" operator="containsText" text="Fully Achieved">
      <formula>NOT(ISERROR(SEARCH("Fully Achieved",Y5)))</formula>
    </cfRule>
    <cfRule type="containsText" dxfId="3967" priority="5145" operator="containsText" text="Fully Achieved">
      <formula>NOT(ISERROR(SEARCH("Fully Achieved",Y5)))</formula>
    </cfRule>
    <cfRule type="containsText" dxfId="3966" priority="5146" operator="containsText" text="Deferred">
      <formula>NOT(ISERROR(SEARCH("Deferred",Y5)))</formula>
    </cfRule>
    <cfRule type="containsText" dxfId="3965" priority="5147" operator="containsText" text="Deleted">
      <formula>NOT(ISERROR(SEARCH("Deleted",Y5)))</formula>
    </cfRule>
    <cfRule type="containsText" dxfId="3964" priority="5148" operator="containsText" text="In Danger of Falling Behind Target">
      <formula>NOT(ISERROR(SEARCH("In Danger of Falling Behind Target",Y5)))</formula>
    </cfRule>
    <cfRule type="containsText" dxfId="3963" priority="5149" operator="containsText" text="Not yet due">
      <formula>NOT(ISERROR(SEARCH("Not yet due",Y5)))</formula>
    </cfRule>
    <cfRule type="containsText" dxfId="3962" priority="5150" operator="containsText" text="Update not Provided">
      <formula>NOT(ISERROR(SEARCH("Update not Provided",Y5)))</formula>
    </cfRule>
  </conditionalFormatting>
  <conditionalFormatting sqref="E29">
    <cfRule type="containsText" dxfId="3961" priority="4935" operator="containsText" text="On track to be achieved">
      <formula>NOT(ISERROR(SEARCH("On track to be achieved",E29)))</formula>
    </cfRule>
    <cfRule type="containsText" dxfId="3960" priority="4936" operator="containsText" text="Deferred">
      <formula>NOT(ISERROR(SEARCH("Deferred",E29)))</formula>
    </cfRule>
    <cfRule type="containsText" dxfId="3959" priority="4937" operator="containsText" text="Deleted">
      <formula>NOT(ISERROR(SEARCH("Deleted",E29)))</formula>
    </cfRule>
    <cfRule type="containsText" dxfId="3958" priority="4938" operator="containsText" text="In Danger of Falling Behind Target">
      <formula>NOT(ISERROR(SEARCH("In Danger of Falling Behind Target",E29)))</formula>
    </cfRule>
    <cfRule type="containsText" dxfId="3957" priority="4939" operator="containsText" text="Not yet due">
      <formula>NOT(ISERROR(SEARCH("Not yet due",E29)))</formula>
    </cfRule>
    <cfRule type="containsText" dxfId="3956" priority="4940" operator="containsText" text="Update not Provided">
      <formula>NOT(ISERROR(SEARCH("Update not Provided",E29)))</formula>
    </cfRule>
    <cfRule type="containsText" dxfId="3955" priority="4941" operator="containsText" text="Not yet due">
      <formula>NOT(ISERROR(SEARCH("Not yet due",E29)))</formula>
    </cfRule>
    <cfRule type="containsText" dxfId="3954" priority="4942" operator="containsText" text="Completed Behind Schedule">
      <formula>NOT(ISERROR(SEARCH("Completed Behind Schedule",E29)))</formula>
    </cfRule>
    <cfRule type="containsText" dxfId="3953" priority="4943" operator="containsText" text="Off Target">
      <formula>NOT(ISERROR(SEARCH("Off Target",E29)))</formula>
    </cfRule>
    <cfRule type="containsText" dxfId="3952" priority="4944" operator="containsText" text="On Track to be Achieved">
      <formula>NOT(ISERROR(SEARCH("On Track to be Achieved",E29)))</formula>
    </cfRule>
    <cfRule type="containsText" dxfId="3951" priority="4945" operator="containsText" text="Fully Achieved">
      <formula>NOT(ISERROR(SEARCH("Fully Achieved",E29)))</formula>
    </cfRule>
    <cfRule type="containsText" dxfId="3950" priority="4946" operator="containsText" text="Not yet due">
      <formula>NOT(ISERROR(SEARCH("Not yet due",E29)))</formula>
    </cfRule>
    <cfRule type="containsText" dxfId="3949" priority="4947" operator="containsText" text="Not Yet Due">
      <formula>NOT(ISERROR(SEARCH("Not Yet Due",E29)))</formula>
    </cfRule>
    <cfRule type="containsText" dxfId="3948" priority="4948" operator="containsText" text="Deferred">
      <formula>NOT(ISERROR(SEARCH("Deferred",E29)))</formula>
    </cfRule>
    <cfRule type="containsText" dxfId="3947" priority="4949" operator="containsText" text="Deleted">
      <formula>NOT(ISERROR(SEARCH("Deleted",E29)))</formula>
    </cfRule>
    <cfRule type="containsText" dxfId="3946" priority="4950" operator="containsText" text="In Danger of Falling Behind Target">
      <formula>NOT(ISERROR(SEARCH("In Danger of Falling Behind Target",E29)))</formula>
    </cfRule>
    <cfRule type="containsText" dxfId="3945" priority="4951" operator="containsText" text="Not yet due">
      <formula>NOT(ISERROR(SEARCH("Not yet due",E29)))</formula>
    </cfRule>
    <cfRule type="containsText" dxfId="3944" priority="4952" operator="containsText" text="Completed Behind Schedule">
      <formula>NOT(ISERROR(SEARCH("Completed Behind Schedule",E29)))</formula>
    </cfRule>
    <cfRule type="containsText" dxfId="3943" priority="4953" operator="containsText" text="Off Target">
      <formula>NOT(ISERROR(SEARCH("Off Target",E29)))</formula>
    </cfRule>
    <cfRule type="containsText" dxfId="3942" priority="4954" operator="containsText" text="In Danger of Falling Behind Target">
      <formula>NOT(ISERROR(SEARCH("In Danger of Falling Behind Target",E29)))</formula>
    </cfRule>
    <cfRule type="containsText" dxfId="3941" priority="4955" operator="containsText" text="On Track to be Achieved">
      <formula>NOT(ISERROR(SEARCH("On Track to be Achieved",E29)))</formula>
    </cfRule>
    <cfRule type="containsText" dxfId="3940" priority="4956" operator="containsText" text="Fully Achieved">
      <formula>NOT(ISERROR(SEARCH("Fully Achieved",E29)))</formula>
    </cfRule>
    <cfRule type="containsText" dxfId="3939" priority="4957" operator="containsText" text="Update not Provided">
      <formula>NOT(ISERROR(SEARCH("Update not Provided",E29)))</formula>
    </cfRule>
    <cfRule type="containsText" dxfId="3938" priority="4958" operator="containsText" text="Not yet due">
      <formula>NOT(ISERROR(SEARCH("Not yet due",E29)))</formula>
    </cfRule>
    <cfRule type="containsText" dxfId="3937" priority="4959" operator="containsText" text="Completed Behind Schedule">
      <formula>NOT(ISERROR(SEARCH("Completed Behind Schedule",E29)))</formula>
    </cfRule>
    <cfRule type="containsText" dxfId="3936" priority="4960" operator="containsText" text="Off Target">
      <formula>NOT(ISERROR(SEARCH("Off Target",E29)))</formula>
    </cfRule>
    <cfRule type="containsText" dxfId="3935" priority="4961" operator="containsText" text="In Danger of Falling Behind Target">
      <formula>NOT(ISERROR(SEARCH("In Danger of Falling Behind Target",E29)))</formula>
    </cfRule>
    <cfRule type="containsText" dxfId="3934" priority="4962" operator="containsText" text="On Track to be Achieved">
      <formula>NOT(ISERROR(SEARCH("On Track to be Achieved",E29)))</formula>
    </cfRule>
    <cfRule type="containsText" dxfId="3933" priority="4963" operator="containsText" text="Fully Achieved">
      <formula>NOT(ISERROR(SEARCH("Fully Achieved",E29)))</formula>
    </cfRule>
    <cfRule type="containsText" dxfId="3932" priority="4964" operator="containsText" text="Fully Achieved">
      <formula>NOT(ISERROR(SEARCH("Fully Achieved",E29)))</formula>
    </cfRule>
    <cfRule type="containsText" dxfId="3931" priority="4965" operator="containsText" text="Fully Achieved">
      <formula>NOT(ISERROR(SEARCH("Fully Achieved",E29)))</formula>
    </cfRule>
    <cfRule type="containsText" dxfId="3930" priority="4966" operator="containsText" text="Deferred">
      <formula>NOT(ISERROR(SEARCH("Deferred",E29)))</formula>
    </cfRule>
    <cfRule type="containsText" dxfId="3929" priority="4967" operator="containsText" text="Deleted">
      <formula>NOT(ISERROR(SEARCH("Deleted",E29)))</formula>
    </cfRule>
    <cfRule type="containsText" dxfId="3928" priority="4968" operator="containsText" text="In Danger of Falling Behind Target">
      <formula>NOT(ISERROR(SEARCH("In Danger of Falling Behind Target",E29)))</formula>
    </cfRule>
    <cfRule type="containsText" dxfId="3927" priority="4969" operator="containsText" text="Not yet due">
      <formula>NOT(ISERROR(SEARCH("Not yet due",E29)))</formula>
    </cfRule>
    <cfRule type="containsText" dxfId="3926" priority="4970" operator="containsText" text="Update not Provided">
      <formula>NOT(ISERROR(SEARCH("Update not Provided",E29)))</formula>
    </cfRule>
  </conditionalFormatting>
  <conditionalFormatting sqref="E34">
    <cfRule type="containsText" dxfId="3925" priority="4899" operator="containsText" text="On track to be achieved">
      <formula>NOT(ISERROR(SEARCH("On track to be achieved",E34)))</formula>
    </cfRule>
    <cfRule type="containsText" dxfId="3924" priority="4900" operator="containsText" text="Deferred">
      <formula>NOT(ISERROR(SEARCH("Deferred",E34)))</formula>
    </cfRule>
    <cfRule type="containsText" dxfId="3923" priority="4901" operator="containsText" text="Deleted">
      <formula>NOT(ISERROR(SEARCH("Deleted",E34)))</formula>
    </cfRule>
    <cfRule type="containsText" dxfId="3922" priority="4902" operator="containsText" text="In Danger of Falling Behind Target">
      <formula>NOT(ISERROR(SEARCH("In Danger of Falling Behind Target",E34)))</formula>
    </cfRule>
    <cfRule type="containsText" dxfId="3921" priority="4903" operator="containsText" text="Not yet due">
      <formula>NOT(ISERROR(SEARCH("Not yet due",E34)))</formula>
    </cfRule>
    <cfRule type="containsText" dxfId="3920" priority="4904" operator="containsText" text="Update not Provided">
      <formula>NOT(ISERROR(SEARCH("Update not Provided",E34)))</formula>
    </cfRule>
    <cfRule type="containsText" dxfId="3919" priority="4905" operator="containsText" text="Not yet due">
      <formula>NOT(ISERROR(SEARCH("Not yet due",E34)))</formula>
    </cfRule>
    <cfRule type="containsText" dxfId="3918" priority="4906" operator="containsText" text="Completed Behind Schedule">
      <formula>NOT(ISERROR(SEARCH("Completed Behind Schedule",E34)))</formula>
    </cfRule>
    <cfRule type="containsText" dxfId="3917" priority="4907" operator="containsText" text="Off Target">
      <formula>NOT(ISERROR(SEARCH("Off Target",E34)))</formula>
    </cfRule>
    <cfRule type="containsText" dxfId="3916" priority="4908" operator="containsText" text="On Track to be Achieved">
      <formula>NOT(ISERROR(SEARCH("On Track to be Achieved",E34)))</formula>
    </cfRule>
    <cfRule type="containsText" dxfId="3915" priority="4909" operator="containsText" text="Fully Achieved">
      <formula>NOT(ISERROR(SEARCH("Fully Achieved",E34)))</formula>
    </cfRule>
    <cfRule type="containsText" dxfId="3914" priority="4910" operator="containsText" text="Not yet due">
      <formula>NOT(ISERROR(SEARCH("Not yet due",E34)))</formula>
    </cfRule>
    <cfRule type="containsText" dxfId="3913" priority="4911" operator="containsText" text="Not Yet Due">
      <formula>NOT(ISERROR(SEARCH("Not Yet Due",E34)))</formula>
    </cfRule>
    <cfRule type="containsText" dxfId="3912" priority="4912" operator="containsText" text="Deferred">
      <formula>NOT(ISERROR(SEARCH("Deferred",E34)))</formula>
    </cfRule>
    <cfRule type="containsText" dxfId="3911" priority="4913" operator="containsText" text="Deleted">
      <formula>NOT(ISERROR(SEARCH("Deleted",E34)))</formula>
    </cfRule>
    <cfRule type="containsText" dxfId="3910" priority="4914" operator="containsText" text="In Danger of Falling Behind Target">
      <formula>NOT(ISERROR(SEARCH("In Danger of Falling Behind Target",E34)))</formula>
    </cfRule>
    <cfRule type="containsText" dxfId="3909" priority="4915" operator="containsText" text="Not yet due">
      <formula>NOT(ISERROR(SEARCH("Not yet due",E34)))</formula>
    </cfRule>
    <cfRule type="containsText" dxfId="3908" priority="4916" operator="containsText" text="Completed Behind Schedule">
      <formula>NOT(ISERROR(SEARCH("Completed Behind Schedule",E34)))</formula>
    </cfRule>
    <cfRule type="containsText" dxfId="3907" priority="4917" operator="containsText" text="Off Target">
      <formula>NOT(ISERROR(SEARCH("Off Target",E34)))</formula>
    </cfRule>
    <cfRule type="containsText" dxfId="3906" priority="4918" operator="containsText" text="In Danger of Falling Behind Target">
      <formula>NOT(ISERROR(SEARCH("In Danger of Falling Behind Target",E34)))</formula>
    </cfRule>
    <cfRule type="containsText" dxfId="3905" priority="4919" operator="containsText" text="On Track to be Achieved">
      <formula>NOT(ISERROR(SEARCH("On Track to be Achieved",E34)))</formula>
    </cfRule>
    <cfRule type="containsText" dxfId="3904" priority="4920" operator="containsText" text="Fully Achieved">
      <formula>NOT(ISERROR(SEARCH("Fully Achieved",E34)))</formula>
    </cfRule>
    <cfRule type="containsText" dxfId="3903" priority="4921" operator="containsText" text="Update not Provided">
      <formula>NOT(ISERROR(SEARCH("Update not Provided",E34)))</formula>
    </cfRule>
    <cfRule type="containsText" dxfId="3902" priority="4922" operator="containsText" text="Not yet due">
      <formula>NOT(ISERROR(SEARCH("Not yet due",E34)))</formula>
    </cfRule>
    <cfRule type="containsText" dxfId="3901" priority="4923" operator="containsText" text="Completed Behind Schedule">
      <formula>NOT(ISERROR(SEARCH("Completed Behind Schedule",E34)))</formula>
    </cfRule>
    <cfRule type="containsText" dxfId="3900" priority="4924" operator="containsText" text="Off Target">
      <formula>NOT(ISERROR(SEARCH("Off Target",E34)))</formula>
    </cfRule>
    <cfRule type="containsText" dxfId="3899" priority="4925" operator="containsText" text="In Danger of Falling Behind Target">
      <formula>NOT(ISERROR(SEARCH("In Danger of Falling Behind Target",E34)))</formula>
    </cfRule>
    <cfRule type="containsText" dxfId="3898" priority="4926" operator="containsText" text="On Track to be Achieved">
      <formula>NOT(ISERROR(SEARCH("On Track to be Achieved",E34)))</formula>
    </cfRule>
    <cfRule type="containsText" dxfId="3897" priority="4927" operator="containsText" text="Fully Achieved">
      <formula>NOT(ISERROR(SEARCH("Fully Achieved",E34)))</formula>
    </cfRule>
    <cfRule type="containsText" dxfId="3896" priority="4928" operator="containsText" text="Fully Achieved">
      <formula>NOT(ISERROR(SEARCH("Fully Achieved",E34)))</formula>
    </cfRule>
    <cfRule type="containsText" dxfId="3895" priority="4929" operator="containsText" text="Fully Achieved">
      <formula>NOT(ISERROR(SEARCH("Fully Achieved",E34)))</formula>
    </cfRule>
    <cfRule type="containsText" dxfId="3894" priority="4930" operator="containsText" text="Deferred">
      <formula>NOT(ISERROR(SEARCH("Deferred",E34)))</formula>
    </cfRule>
    <cfRule type="containsText" dxfId="3893" priority="4931" operator="containsText" text="Deleted">
      <formula>NOT(ISERROR(SEARCH("Deleted",E34)))</formula>
    </cfRule>
    <cfRule type="containsText" dxfId="3892" priority="4932" operator="containsText" text="In Danger of Falling Behind Target">
      <formula>NOT(ISERROR(SEARCH("In Danger of Falling Behind Target",E34)))</formula>
    </cfRule>
    <cfRule type="containsText" dxfId="3891" priority="4933" operator="containsText" text="Not yet due">
      <formula>NOT(ISERROR(SEARCH("Not yet due",E34)))</formula>
    </cfRule>
    <cfRule type="containsText" dxfId="3890" priority="4934" operator="containsText" text="Update not Provided">
      <formula>NOT(ISERROR(SEARCH("Update not Provided",E34)))</formula>
    </cfRule>
  </conditionalFormatting>
  <conditionalFormatting sqref="E36">
    <cfRule type="containsText" dxfId="3889" priority="4863" operator="containsText" text="On track to be achieved">
      <formula>NOT(ISERROR(SEARCH("On track to be achieved",E36)))</formula>
    </cfRule>
    <cfRule type="containsText" dxfId="3888" priority="4864" operator="containsText" text="Deferred">
      <formula>NOT(ISERROR(SEARCH("Deferred",E36)))</formula>
    </cfRule>
    <cfRule type="containsText" dxfId="3887" priority="4865" operator="containsText" text="Deleted">
      <formula>NOT(ISERROR(SEARCH("Deleted",E36)))</formula>
    </cfRule>
    <cfRule type="containsText" dxfId="3886" priority="4866" operator="containsText" text="In Danger of Falling Behind Target">
      <formula>NOT(ISERROR(SEARCH("In Danger of Falling Behind Target",E36)))</formula>
    </cfRule>
    <cfRule type="containsText" dxfId="3885" priority="4867" operator="containsText" text="Not yet due">
      <formula>NOT(ISERROR(SEARCH("Not yet due",E36)))</formula>
    </cfRule>
    <cfRule type="containsText" dxfId="3884" priority="4868" operator="containsText" text="Update not Provided">
      <formula>NOT(ISERROR(SEARCH("Update not Provided",E36)))</formula>
    </cfRule>
    <cfRule type="containsText" dxfId="3883" priority="4869" operator="containsText" text="Not yet due">
      <formula>NOT(ISERROR(SEARCH("Not yet due",E36)))</formula>
    </cfRule>
    <cfRule type="containsText" dxfId="3882" priority="4870" operator="containsText" text="Completed Behind Schedule">
      <formula>NOT(ISERROR(SEARCH("Completed Behind Schedule",E36)))</formula>
    </cfRule>
    <cfRule type="containsText" dxfId="3881" priority="4871" operator="containsText" text="Off Target">
      <formula>NOT(ISERROR(SEARCH("Off Target",E36)))</formula>
    </cfRule>
    <cfRule type="containsText" dxfId="3880" priority="4872" operator="containsText" text="On Track to be Achieved">
      <formula>NOT(ISERROR(SEARCH("On Track to be Achieved",E36)))</formula>
    </cfRule>
    <cfRule type="containsText" dxfId="3879" priority="4873" operator="containsText" text="Fully Achieved">
      <formula>NOT(ISERROR(SEARCH("Fully Achieved",E36)))</formula>
    </cfRule>
    <cfRule type="containsText" dxfId="3878" priority="4874" operator="containsText" text="Not yet due">
      <formula>NOT(ISERROR(SEARCH("Not yet due",E36)))</formula>
    </cfRule>
    <cfRule type="containsText" dxfId="3877" priority="4875" operator="containsText" text="Not Yet Due">
      <formula>NOT(ISERROR(SEARCH("Not Yet Due",E36)))</formula>
    </cfRule>
    <cfRule type="containsText" dxfId="3876" priority="4876" operator="containsText" text="Deferred">
      <formula>NOT(ISERROR(SEARCH("Deferred",E36)))</formula>
    </cfRule>
    <cfRule type="containsText" dxfId="3875" priority="4877" operator="containsText" text="Deleted">
      <formula>NOT(ISERROR(SEARCH("Deleted",E36)))</formula>
    </cfRule>
    <cfRule type="containsText" dxfId="3874" priority="4878" operator="containsText" text="In Danger of Falling Behind Target">
      <formula>NOT(ISERROR(SEARCH("In Danger of Falling Behind Target",E36)))</formula>
    </cfRule>
    <cfRule type="containsText" dxfId="3873" priority="4879" operator="containsText" text="Not yet due">
      <formula>NOT(ISERROR(SEARCH("Not yet due",E36)))</formula>
    </cfRule>
    <cfRule type="containsText" dxfId="3872" priority="4880" operator="containsText" text="Completed Behind Schedule">
      <formula>NOT(ISERROR(SEARCH("Completed Behind Schedule",E36)))</formula>
    </cfRule>
    <cfRule type="containsText" dxfId="3871" priority="4881" operator="containsText" text="Off Target">
      <formula>NOT(ISERROR(SEARCH("Off Target",E36)))</formula>
    </cfRule>
    <cfRule type="containsText" dxfId="3870" priority="4882" operator="containsText" text="In Danger of Falling Behind Target">
      <formula>NOT(ISERROR(SEARCH("In Danger of Falling Behind Target",E36)))</formula>
    </cfRule>
    <cfRule type="containsText" dxfId="3869" priority="4883" operator="containsText" text="On Track to be Achieved">
      <formula>NOT(ISERROR(SEARCH("On Track to be Achieved",E36)))</formula>
    </cfRule>
    <cfRule type="containsText" dxfId="3868" priority="4884" operator="containsText" text="Fully Achieved">
      <formula>NOT(ISERROR(SEARCH("Fully Achieved",E36)))</formula>
    </cfRule>
    <cfRule type="containsText" dxfId="3867" priority="4885" operator="containsText" text="Update not Provided">
      <formula>NOT(ISERROR(SEARCH("Update not Provided",E36)))</formula>
    </cfRule>
    <cfRule type="containsText" dxfId="3866" priority="4886" operator="containsText" text="Not yet due">
      <formula>NOT(ISERROR(SEARCH("Not yet due",E36)))</formula>
    </cfRule>
    <cfRule type="containsText" dxfId="3865" priority="4887" operator="containsText" text="Completed Behind Schedule">
      <formula>NOT(ISERROR(SEARCH("Completed Behind Schedule",E36)))</formula>
    </cfRule>
    <cfRule type="containsText" dxfId="3864" priority="4888" operator="containsText" text="Off Target">
      <formula>NOT(ISERROR(SEARCH("Off Target",E36)))</formula>
    </cfRule>
    <cfRule type="containsText" dxfId="3863" priority="4889" operator="containsText" text="In Danger of Falling Behind Target">
      <formula>NOT(ISERROR(SEARCH("In Danger of Falling Behind Target",E36)))</formula>
    </cfRule>
    <cfRule type="containsText" dxfId="3862" priority="4890" operator="containsText" text="On Track to be Achieved">
      <formula>NOT(ISERROR(SEARCH("On Track to be Achieved",E36)))</formula>
    </cfRule>
    <cfRule type="containsText" dxfId="3861" priority="4891" operator="containsText" text="Fully Achieved">
      <formula>NOT(ISERROR(SEARCH("Fully Achieved",E36)))</formula>
    </cfRule>
    <cfRule type="containsText" dxfId="3860" priority="4892" operator="containsText" text="Fully Achieved">
      <formula>NOT(ISERROR(SEARCH("Fully Achieved",E36)))</formula>
    </cfRule>
    <cfRule type="containsText" dxfId="3859" priority="4893" operator="containsText" text="Fully Achieved">
      <formula>NOT(ISERROR(SEARCH("Fully Achieved",E36)))</formula>
    </cfRule>
    <cfRule type="containsText" dxfId="3858" priority="4894" operator="containsText" text="Deferred">
      <formula>NOT(ISERROR(SEARCH("Deferred",E36)))</formula>
    </cfRule>
    <cfRule type="containsText" dxfId="3857" priority="4895" operator="containsText" text="Deleted">
      <formula>NOT(ISERROR(SEARCH("Deleted",E36)))</formula>
    </cfRule>
    <cfRule type="containsText" dxfId="3856" priority="4896" operator="containsText" text="In Danger of Falling Behind Target">
      <formula>NOT(ISERROR(SEARCH("In Danger of Falling Behind Target",E36)))</formula>
    </cfRule>
    <cfRule type="containsText" dxfId="3855" priority="4897" operator="containsText" text="Not yet due">
      <formula>NOT(ISERROR(SEARCH("Not yet due",E36)))</formula>
    </cfRule>
    <cfRule type="containsText" dxfId="3854" priority="4898" operator="containsText" text="Update not Provided">
      <formula>NOT(ISERROR(SEARCH("Update not Provided",E36)))</formula>
    </cfRule>
  </conditionalFormatting>
  <conditionalFormatting sqref="E42:E43">
    <cfRule type="containsText" dxfId="3853" priority="4791" operator="containsText" text="On track to be achieved">
      <formula>NOT(ISERROR(SEARCH("On track to be achieved",E42)))</formula>
    </cfRule>
    <cfRule type="containsText" dxfId="3852" priority="4792" operator="containsText" text="Deferred">
      <formula>NOT(ISERROR(SEARCH("Deferred",E42)))</formula>
    </cfRule>
    <cfRule type="containsText" dxfId="3851" priority="4793" operator="containsText" text="Deleted">
      <formula>NOT(ISERROR(SEARCH("Deleted",E42)))</formula>
    </cfRule>
    <cfRule type="containsText" dxfId="3850" priority="4794" operator="containsText" text="In Danger of Falling Behind Target">
      <formula>NOT(ISERROR(SEARCH("In Danger of Falling Behind Target",E42)))</formula>
    </cfRule>
    <cfRule type="containsText" dxfId="3849" priority="4795" operator="containsText" text="Not yet due">
      <formula>NOT(ISERROR(SEARCH("Not yet due",E42)))</formula>
    </cfRule>
    <cfRule type="containsText" dxfId="3848" priority="4796" operator="containsText" text="Update not Provided">
      <formula>NOT(ISERROR(SEARCH("Update not Provided",E42)))</formula>
    </cfRule>
    <cfRule type="containsText" dxfId="3847" priority="4797" operator="containsText" text="Not yet due">
      <formula>NOT(ISERROR(SEARCH("Not yet due",E42)))</formula>
    </cfRule>
    <cfRule type="containsText" dxfId="3846" priority="4798" operator="containsText" text="Completed Behind Schedule">
      <formula>NOT(ISERROR(SEARCH("Completed Behind Schedule",E42)))</formula>
    </cfRule>
    <cfRule type="containsText" dxfId="3845" priority="4799" operator="containsText" text="Off Target">
      <formula>NOT(ISERROR(SEARCH("Off Target",E42)))</formula>
    </cfRule>
    <cfRule type="containsText" dxfId="3844" priority="4800" operator="containsText" text="On Track to be Achieved">
      <formula>NOT(ISERROR(SEARCH("On Track to be Achieved",E42)))</formula>
    </cfRule>
    <cfRule type="containsText" dxfId="3843" priority="4801" operator="containsText" text="Fully Achieved">
      <formula>NOT(ISERROR(SEARCH("Fully Achieved",E42)))</formula>
    </cfRule>
    <cfRule type="containsText" dxfId="3842" priority="4802" operator="containsText" text="Not yet due">
      <formula>NOT(ISERROR(SEARCH("Not yet due",E42)))</formula>
    </cfRule>
    <cfRule type="containsText" dxfId="3841" priority="4803" operator="containsText" text="Not Yet Due">
      <formula>NOT(ISERROR(SEARCH("Not Yet Due",E42)))</formula>
    </cfRule>
    <cfRule type="containsText" dxfId="3840" priority="4804" operator="containsText" text="Deferred">
      <formula>NOT(ISERROR(SEARCH("Deferred",E42)))</formula>
    </cfRule>
    <cfRule type="containsText" dxfId="3839" priority="4805" operator="containsText" text="Deleted">
      <formula>NOT(ISERROR(SEARCH("Deleted",E42)))</formula>
    </cfRule>
    <cfRule type="containsText" dxfId="3838" priority="4806" operator="containsText" text="In Danger of Falling Behind Target">
      <formula>NOT(ISERROR(SEARCH("In Danger of Falling Behind Target",E42)))</formula>
    </cfRule>
    <cfRule type="containsText" dxfId="3837" priority="4807" operator="containsText" text="Not yet due">
      <formula>NOT(ISERROR(SEARCH("Not yet due",E42)))</formula>
    </cfRule>
    <cfRule type="containsText" dxfId="3836" priority="4808" operator="containsText" text="Completed Behind Schedule">
      <formula>NOT(ISERROR(SEARCH("Completed Behind Schedule",E42)))</formula>
    </cfRule>
    <cfRule type="containsText" dxfId="3835" priority="4809" operator="containsText" text="Off Target">
      <formula>NOT(ISERROR(SEARCH("Off Target",E42)))</formula>
    </cfRule>
    <cfRule type="containsText" dxfId="3834" priority="4810" operator="containsText" text="In Danger of Falling Behind Target">
      <formula>NOT(ISERROR(SEARCH("In Danger of Falling Behind Target",E42)))</formula>
    </cfRule>
    <cfRule type="containsText" dxfId="3833" priority="4811" operator="containsText" text="On Track to be Achieved">
      <formula>NOT(ISERROR(SEARCH("On Track to be Achieved",E42)))</formula>
    </cfRule>
    <cfRule type="containsText" dxfId="3832" priority="4812" operator="containsText" text="Fully Achieved">
      <formula>NOT(ISERROR(SEARCH("Fully Achieved",E42)))</formula>
    </cfRule>
    <cfRule type="containsText" dxfId="3831" priority="4813" operator="containsText" text="Update not Provided">
      <formula>NOT(ISERROR(SEARCH("Update not Provided",E42)))</formula>
    </cfRule>
    <cfRule type="containsText" dxfId="3830" priority="4814" operator="containsText" text="Not yet due">
      <formula>NOT(ISERROR(SEARCH("Not yet due",E42)))</formula>
    </cfRule>
    <cfRule type="containsText" dxfId="3829" priority="4815" operator="containsText" text="Completed Behind Schedule">
      <formula>NOT(ISERROR(SEARCH("Completed Behind Schedule",E42)))</formula>
    </cfRule>
    <cfRule type="containsText" dxfId="3828" priority="4816" operator="containsText" text="Off Target">
      <formula>NOT(ISERROR(SEARCH("Off Target",E42)))</formula>
    </cfRule>
    <cfRule type="containsText" dxfId="3827" priority="4817" operator="containsText" text="In Danger of Falling Behind Target">
      <formula>NOT(ISERROR(SEARCH("In Danger of Falling Behind Target",E42)))</formula>
    </cfRule>
    <cfRule type="containsText" dxfId="3826" priority="4818" operator="containsText" text="On Track to be Achieved">
      <formula>NOT(ISERROR(SEARCH("On Track to be Achieved",E42)))</formula>
    </cfRule>
    <cfRule type="containsText" dxfId="3825" priority="4819" operator="containsText" text="Fully Achieved">
      <formula>NOT(ISERROR(SEARCH("Fully Achieved",E42)))</formula>
    </cfRule>
    <cfRule type="containsText" dxfId="3824" priority="4820" operator="containsText" text="Fully Achieved">
      <formula>NOT(ISERROR(SEARCH("Fully Achieved",E42)))</formula>
    </cfRule>
    <cfRule type="containsText" dxfId="3823" priority="4821" operator="containsText" text="Fully Achieved">
      <formula>NOT(ISERROR(SEARCH("Fully Achieved",E42)))</formula>
    </cfRule>
    <cfRule type="containsText" dxfId="3822" priority="4822" operator="containsText" text="Deferred">
      <formula>NOT(ISERROR(SEARCH("Deferred",E42)))</formula>
    </cfRule>
    <cfRule type="containsText" dxfId="3821" priority="4823" operator="containsText" text="Deleted">
      <formula>NOT(ISERROR(SEARCH("Deleted",E42)))</formula>
    </cfRule>
    <cfRule type="containsText" dxfId="3820" priority="4824" operator="containsText" text="In Danger of Falling Behind Target">
      <formula>NOT(ISERROR(SEARCH("In Danger of Falling Behind Target",E42)))</formula>
    </cfRule>
    <cfRule type="containsText" dxfId="3819" priority="4825" operator="containsText" text="Not yet due">
      <formula>NOT(ISERROR(SEARCH("Not yet due",E42)))</formula>
    </cfRule>
    <cfRule type="containsText" dxfId="3818" priority="4826" operator="containsText" text="Update not Provided">
      <formula>NOT(ISERROR(SEARCH("Update not Provided",E42)))</formula>
    </cfRule>
  </conditionalFormatting>
  <conditionalFormatting sqref="E48 E51 E55">
    <cfRule type="containsText" dxfId="3817" priority="4755" operator="containsText" text="On track to be achieved">
      <formula>NOT(ISERROR(SEARCH("On track to be achieved",E48)))</formula>
    </cfRule>
    <cfRule type="containsText" dxfId="3816" priority="4756" operator="containsText" text="Deferred">
      <formula>NOT(ISERROR(SEARCH("Deferred",E48)))</formula>
    </cfRule>
    <cfRule type="containsText" dxfId="3815" priority="4757" operator="containsText" text="Deleted">
      <formula>NOT(ISERROR(SEARCH("Deleted",E48)))</formula>
    </cfRule>
    <cfRule type="containsText" dxfId="3814" priority="4758" operator="containsText" text="In Danger of Falling Behind Target">
      <formula>NOT(ISERROR(SEARCH("In Danger of Falling Behind Target",E48)))</formula>
    </cfRule>
    <cfRule type="containsText" dxfId="3813" priority="4759" operator="containsText" text="Not yet due">
      <formula>NOT(ISERROR(SEARCH("Not yet due",E48)))</formula>
    </cfRule>
    <cfRule type="containsText" dxfId="3812" priority="4760" operator="containsText" text="Update not Provided">
      <formula>NOT(ISERROR(SEARCH("Update not Provided",E48)))</formula>
    </cfRule>
    <cfRule type="containsText" dxfId="3811" priority="4761" operator="containsText" text="Not yet due">
      <formula>NOT(ISERROR(SEARCH("Not yet due",E48)))</formula>
    </cfRule>
    <cfRule type="containsText" dxfId="3810" priority="4762" operator="containsText" text="Completed Behind Schedule">
      <formula>NOT(ISERROR(SEARCH("Completed Behind Schedule",E48)))</formula>
    </cfRule>
    <cfRule type="containsText" dxfId="3809" priority="4763" operator="containsText" text="Off Target">
      <formula>NOT(ISERROR(SEARCH("Off Target",E48)))</formula>
    </cfRule>
    <cfRule type="containsText" dxfId="3808" priority="4764" operator="containsText" text="On Track to be Achieved">
      <formula>NOT(ISERROR(SEARCH("On Track to be Achieved",E48)))</formula>
    </cfRule>
    <cfRule type="containsText" dxfId="3807" priority="4765" operator="containsText" text="Fully Achieved">
      <formula>NOT(ISERROR(SEARCH("Fully Achieved",E48)))</formula>
    </cfRule>
    <cfRule type="containsText" dxfId="3806" priority="4766" operator="containsText" text="Not yet due">
      <formula>NOT(ISERROR(SEARCH("Not yet due",E48)))</formula>
    </cfRule>
    <cfRule type="containsText" dxfId="3805" priority="4767" operator="containsText" text="Not Yet Due">
      <formula>NOT(ISERROR(SEARCH("Not Yet Due",E48)))</formula>
    </cfRule>
    <cfRule type="containsText" dxfId="3804" priority="4768" operator="containsText" text="Deferred">
      <formula>NOT(ISERROR(SEARCH("Deferred",E48)))</formula>
    </cfRule>
    <cfRule type="containsText" dxfId="3803" priority="4769" operator="containsText" text="Deleted">
      <formula>NOT(ISERROR(SEARCH("Deleted",E48)))</formula>
    </cfRule>
    <cfRule type="containsText" dxfId="3802" priority="4770" operator="containsText" text="In Danger of Falling Behind Target">
      <formula>NOT(ISERROR(SEARCH("In Danger of Falling Behind Target",E48)))</formula>
    </cfRule>
    <cfRule type="containsText" dxfId="3801" priority="4771" operator="containsText" text="Not yet due">
      <formula>NOT(ISERROR(SEARCH("Not yet due",E48)))</formula>
    </cfRule>
    <cfRule type="containsText" dxfId="3800" priority="4772" operator="containsText" text="Completed Behind Schedule">
      <formula>NOT(ISERROR(SEARCH("Completed Behind Schedule",E48)))</formula>
    </cfRule>
    <cfRule type="containsText" dxfId="3799" priority="4773" operator="containsText" text="Off Target">
      <formula>NOT(ISERROR(SEARCH("Off Target",E48)))</formula>
    </cfRule>
    <cfRule type="containsText" dxfId="3798" priority="4774" operator="containsText" text="In Danger of Falling Behind Target">
      <formula>NOT(ISERROR(SEARCH("In Danger of Falling Behind Target",E48)))</formula>
    </cfRule>
    <cfRule type="containsText" dxfId="3797" priority="4775" operator="containsText" text="On Track to be Achieved">
      <formula>NOT(ISERROR(SEARCH("On Track to be Achieved",E48)))</formula>
    </cfRule>
    <cfRule type="containsText" dxfId="3796" priority="4776" operator="containsText" text="Fully Achieved">
      <formula>NOT(ISERROR(SEARCH("Fully Achieved",E48)))</formula>
    </cfRule>
    <cfRule type="containsText" dxfId="3795" priority="4777" operator="containsText" text="Update not Provided">
      <formula>NOT(ISERROR(SEARCH("Update not Provided",E48)))</formula>
    </cfRule>
    <cfRule type="containsText" dxfId="3794" priority="4778" operator="containsText" text="Not yet due">
      <formula>NOT(ISERROR(SEARCH("Not yet due",E48)))</formula>
    </cfRule>
    <cfRule type="containsText" dxfId="3793" priority="4779" operator="containsText" text="Completed Behind Schedule">
      <formula>NOT(ISERROR(SEARCH("Completed Behind Schedule",E48)))</formula>
    </cfRule>
    <cfRule type="containsText" dxfId="3792" priority="4780" operator="containsText" text="Off Target">
      <formula>NOT(ISERROR(SEARCH("Off Target",E48)))</formula>
    </cfRule>
    <cfRule type="containsText" dxfId="3791" priority="4781" operator="containsText" text="In Danger of Falling Behind Target">
      <formula>NOT(ISERROR(SEARCH("In Danger of Falling Behind Target",E48)))</formula>
    </cfRule>
    <cfRule type="containsText" dxfId="3790" priority="4782" operator="containsText" text="On Track to be Achieved">
      <formula>NOT(ISERROR(SEARCH("On Track to be Achieved",E48)))</formula>
    </cfRule>
    <cfRule type="containsText" dxfId="3789" priority="4783" operator="containsText" text="Fully Achieved">
      <formula>NOT(ISERROR(SEARCH("Fully Achieved",E48)))</formula>
    </cfRule>
    <cfRule type="containsText" dxfId="3788" priority="4784" operator="containsText" text="Fully Achieved">
      <formula>NOT(ISERROR(SEARCH("Fully Achieved",E48)))</formula>
    </cfRule>
    <cfRule type="containsText" dxfId="3787" priority="4785" operator="containsText" text="Fully Achieved">
      <formula>NOT(ISERROR(SEARCH("Fully Achieved",E48)))</formula>
    </cfRule>
    <cfRule type="containsText" dxfId="3786" priority="4786" operator="containsText" text="Deferred">
      <formula>NOT(ISERROR(SEARCH("Deferred",E48)))</formula>
    </cfRule>
    <cfRule type="containsText" dxfId="3785" priority="4787" operator="containsText" text="Deleted">
      <formula>NOT(ISERROR(SEARCH("Deleted",E48)))</formula>
    </cfRule>
    <cfRule type="containsText" dxfId="3784" priority="4788" operator="containsText" text="In Danger of Falling Behind Target">
      <formula>NOT(ISERROR(SEARCH("In Danger of Falling Behind Target",E48)))</formula>
    </cfRule>
    <cfRule type="containsText" dxfId="3783" priority="4789" operator="containsText" text="Not yet due">
      <formula>NOT(ISERROR(SEARCH("Not yet due",E48)))</formula>
    </cfRule>
    <cfRule type="containsText" dxfId="3782" priority="4790" operator="containsText" text="Update not Provided">
      <formula>NOT(ISERROR(SEARCH("Update not Provided",E48)))</formula>
    </cfRule>
  </conditionalFormatting>
  <conditionalFormatting sqref="E62:E63">
    <cfRule type="containsText" dxfId="3781" priority="4719" operator="containsText" text="On track to be achieved">
      <formula>NOT(ISERROR(SEARCH("On track to be achieved",E62)))</formula>
    </cfRule>
    <cfRule type="containsText" dxfId="3780" priority="4720" operator="containsText" text="Deferred">
      <formula>NOT(ISERROR(SEARCH("Deferred",E62)))</formula>
    </cfRule>
    <cfRule type="containsText" dxfId="3779" priority="4721" operator="containsText" text="Deleted">
      <formula>NOT(ISERROR(SEARCH("Deleted",E62)))</formula>
    </cfRule>
    <cfRule type="containsText" dxfId="3778" priority="4722" operator="containsText" text="In Danger of Falling Behind Target">
      <formula>NOT(ISERROR(SEARCH("In Danger of Falling Behind Target",E62)))</formula>
    </cfRule>
    <cfRule type="containsText" dxfId="3777" priority="4723" operator="containsText" text="Not yet due">
      <formula>NOT(ISERROR(SEARCH("Not yet due",E62)))</formula>
    </cfRule>
    <cfRule type="containsText" dxfId="3776" priority="4724" operator="containsText" text="Update not Provided">
      <formula>NOT(ISERROR(SEARCH("Update not Provided",E62)))</formula>
    </cfRule>
    <cfRule type="containsText" dxfId="3775" priority="4725" operator="containsText" text="Not yet due">
      <formula>NOT(ISERROR(SEARCH("Not yet due",E62)))</formula>
    </cfRule>
    <cfRule type="containsText" dxfId="3774" priority="4726" operator="containsText" text="Completed Behind Schedule">
      <formula>NOT(ISERROR(SEARCH("Completed Behind Schedule",E62)))</formula>
    </cfRule>
    <cfRule type="containsText" dxfId="3773" priority="4727" operator="containsText" text="Off Target">
      <formula>NOT(ISERROR(SEARCH("Off Target",E62)))</formula>
    </cfRule>
    <cfRule type="containsText" dxfId="3772" priority="4728" operator="containsText" text="On Track to be Achieved">
      <formula>NOT(ISERROR(SEARCH("On Track to be Achieved",E62)))</formula>
    </cfRule>
    <cfRule type="containsText" dxfId="3771" priority="4729" operator="containsText" text="Fully Achieved">
      <formula>NOT(ISERROR(SEARCH("Fully Achieved",E62)))</formula>
    </cfRule>
    <cfRule type="containsText" dxfId="3770" priority="4730" operator="containsText" text="Not yet due">
      <formula>NOT(ISERROR(SEARCH("Not yet due",E62)))</formula>
    </cfRule>
    <cfRule type="containsText" dxfId="3769" priority="4731" operator="containsText" text="Not Yet Due">
      <formula>NOT(ISERROR(SEARCH("Not Yet Due",E62)))</formula>
    </cfRule>
    <cfRule type="containsText" dxfId="3768" priority="4732" operator="containsText" text="Deferred">
      <formula>NOT(ISERROR(SEARCH("Deferred",E62)))</formula>
    </cfRule>
    <cfRule type="containsText" dxfId="3767" priority="4733" operator="containsText" text="Deleted">
      <formula>NOT(ISERROR(SEARCH("Deleted",E62)))</formula>
    </cfRule>
    <cfRule type="containsText" dxfId="3766" priority="4734" operator="containsText" text="In Danger of Falling Behind Target">
      <formula>NOT(ISERROR(SEARCH("In Danger of Falling Behind Target",E62)))</formula>
    </cfRule>
    <cfRule type="containsText" dxfId="3765" priority="4735" operator="containsText" text="Not yet due">
      <formula>NOT(ISERROR(SEARCH("Not yet due",E62)))</formula>
    </cfRule>
    <cfRule type="containsText" dxfId="3764" priority="4736" operator="containsText" text="Completed Behind Schedule">
      <formula>NOT(ISERROR(SEARCH("Completed Behind Schedule",E62)))</formula>
    </cfRule>
    <cfRule type="containsText" dxfId="3763" priority="4737" operator="containsText" text="Off Target">
      <formula>NOT(ISERROR(SEARCH("Off Target",E62)))</formula>
    </cfRule>
    <cfRule type="containsText" dxfId="3762" priority="4738" operator="containsText" text="In Danger of Falling Behind Target">
      <formula>NOT(ISERROR(SEARCH("In Danger of Falling Behind Target",E62)))</formula>
    </cfRule>
    <cfRule type="containsText" dxfId="3761" priority="4739" operator="containsText" text="On Track to be Achieved">
      <formula>NOT(ISERROR(SEARCH("On Track to be Achieved",E62)))</formula>
    </cfRule>
    <cfRule type="containsText" dxfId="3760" priority="4740" operator="containsText" text="Fully Achieved">
      <formula>NOT(ISERROR(SEARCH("Fully Achieved",E62)))</formula>
    </cfRule>
    <cfRule type="containsText" dxfId="3759" priority="4741" operator="containsText" text="Update not Provided">
      <formula>NOT(ISERROR(SEARCH("Update not Provided",E62)))</formula>
    </cfRule>
    <cfRule type="containsText" dxfId="3758" priority="4742" operator="containsText" text="Not yet due">
      <formula>NOT(ISERROR(SEARCH("Not yet due",E62)))</formula>
    </cfRule>
    <cfRule type="containsText" dxfId="3757" priority="4743" operator="containsText" text="Completed Behind Schedule">
      <formula>NOT(ISERROR(SEARCH("Completed Behind Schedule",E62)))</formula>
    </cfRule>
    <cfRule type="containsText" dxfId="3756" priority="4744" operator="containsText" text="Off Target">
      <formula>NOT(ISERROR(SEARCH("Off Target",E62)))</formula>
    </cfRule>
    <cfRule type="containsText" dxfId="3755" priority="4745" operator="containsText" text="In Danger of Falling Behind Target">
      <formula>NOT(ISERROR(SEARCH("In Danger of Falling Behind Target",E62)))</formula>
    </cfRule>
    <cfRule type="containsText" dxfId="3754" priority="4746" operator="containsText" text="On Track to be Achieved">
      <formula>NOT(ISERROR(SEARCH("On Track to be Achieved",E62)))</formula>
    </cfRule>
    <cfRule type="containsText" dxfId="3753" priority="4747" operator="containsText" text="Fully Achieved">
      <formula>NOT(ISERROR(SEARCH("Fully Achieved",E62)))</formula>
    </cfRule>
    <cfRule type="containsText" dxfId="3752" priority="4748" operator="containsText" text="Fully Achieved">
      <formula>NOT(ISERROR(SEARCH("Fully Achieved",E62)))</formula>
    </cfRule>
    <cfRule type="containsText" dxfId="3751" priority="4749" operator="containsText" text="Fully Achieved">
      <formula>NOT(ISERROR(SEARCH("Fully Achieved",E62)))</formula>
    </cfRule>
    <cfRule type="containsText" dxfId="3750" priority="4750" operator="containsText" text="Deferred">
      <formula>NOT(ISERROR(SEARCH("Deferred",E62)))</formula>
    </cfRule>
    <cfRule type="containsText" dxfId="3749" priority="4751" operator="containsText" text="Deleted">
      <formula>NOT(ISERROR(SEARCH("Deleted",E62)))</formula>
    </cfRule>
    <cfRule type="containsText" dxfId="3748" priority="4752" operator="containsText" text="In Danger of Falling Behind Target">
      <formula>NOT(ISERROR(SEARCH("In Danger of Falling Behind Target",E62)))</formula>
    </cfRule>
    <cfRule type="containsText" dxfId="3747" priority="4753" operator="containsText" text="Not yet due">
      <formula>NOT(ISERROR(SEARCH("Not yet due",E62)))</formula>
    </cfRule>
    <cfRule type="containsText" dxfId="3746" priority="4754" operator="containsText" text="Update not Provided">
      <formula>NOT(ISERROR(SEARCH("Update not Provided",E62)))</formula>
    </cfRule>
  </conditionalFormatting>
  <conditionalFormatting sqref="E71:E74 E76">
    <cfRule type="containsText" dxfId="3745" priority="4647" operator="containsText" text="On track to be achieved">
      <formula>NOT(ISERROR(SEARCH("On track to be achieved",E71)))</formula>
    </cfRule>
    <cfRule type="containsText" dxfId="3744" priority="4648" operator="containsText" text="Deferred">
      <formula>NOT(ISERROR(SEARCH("Deferred",E71)))</formula>
    </cfRule>
    <cfRule type="containsText" dxfId="3743" priority="4649" operator="containsText" text="Deleted">
      <formula>NOT(ISERROR(SEARCH("Deleted",E71)))</formula>
    </cfRule>
    <cfRule type="containsText" dxfId="3742" priority="4650" operator="containsText" text="In Danger of Falling Behind Target">
      <formula>NOT(ISERROR(SEARCH("In Danger of Falling Behind Target",E71)))</formula>
    </cfRule>
    <cfRule type="containsText" dxfId="3741" priority="4651" operator="containsText" text="Not yet due">
      <formula>NOT(ISERROR(SEARCH("Not yet due",E71)))</formula>
    </cfRule>
    <cfRule type="containsText" dxfId="3740" priority="4652" operator="containsText" text="Update not Provided">
      <formula>NOT(ISERROR(SEARCH("Update not Provided",E71)))</formula>
    </cfRule>
    <cfRule type="containsText" dxfId="3739" priority="4653" operator="containsText" text="Not yet due">
      <formula>NOT(ISERROR(SEARCH("Not yet due",E71)))</formula>
    </cfRule>
    <cfRule type="containsText" dxfId="3738" priority="4654" operator="containsText" text="Completed Behind Schedule">
      <formula>NOT(ISERROR(SEARCH("Completed Behind Schedule",E71)))</formula>
    </cfRule>
    <cfRule type="containsText" dxfId="3737" priority="4655" operator="containsText" text="Off Target">
      <formula>NOT(ISERROR(SEARCH("Off Target",E71)))</formula>
    </cfRule>
    <cfRule type="containsText" dxfId="3736" priority="4656" operator="containsText" text="On Track to be Achieved">
      <formula>NOT(ISERROR(SEARCH("On Track to be Achieved",E71)))</formula>
    </cfRule>
    <cfRule type="containsText" dxfId="3735" priority="4657" operator="containsText" text="Fully Achieved">
      <formula>NOT(ISERROR(SEARCH("Fully Achieved",E71)))</formula>
    </cfRule>
    <cfRule type="containsText" dxfId="3734" priority="4658" operator="containsText" text="Not yet due">
      <formula>NOT(ISERROR(SEARCH("Not yet due",E71)))</formula>
    </cfRule>
    <cfRule type="containsText" dxfId="3733" priority="4659" operator="containsText" text="Not Yet Due">
      <formula>NOT(ISERROR(SEARCH("Not Yet Due",E71)))</formula>
    </cfRule>
    <cfRule type="containsText" dxfId="3732" priority="4660" operator="containsText" text="Deferred">
      <formula>NOT(ISERROR(SEARCH("Deferred",E71)))</formula>
    </cfRule>
    <cfRule type="containsText" dxfId="3731" priority="4661" operator="containsText" text="Deleted">
      <formula>NOT(ISERROR(SEARCH("Deleted",E71)))</formula>
    </cfRule>
    <cfRule type="containsText" dxfId="3730" priority="4662" operator="containsText" text="In Danger of Falling Behind Target">
      <formula>NOT(ISERROR(SEARCH("In Danger of Falling Behind Target",E71)))</formula>
    </cfRule>
    <cfRule type="containsText" dxfId="3729" priority="4663" operator="containsText" text="Not yet due">
      <formula>NOT(ISERROR(SEARCH("Not yet due",E71)))</formula>
    </cfRule>
    <cfRule type="containsText" dxfId="3728" priority="4664" operator="containsText" text="Completed Behind Schedule">
      <formula>NOT(ISERROR(SEARCH("Completed Behind Schedule",E71)))</formula>
    </cfRule>
    <cfRule type="containsText" dxfId="3727" priority="4665" operator="containsText" text="Off Target">
      <formula>NOT(ISERROR(SEARCH("Off Target",E71)))</formula>
    </cfRule>
    <cfRule type="containsText" dxfId="3726" priority="4666" operator="containsText" text="In Danger of Falling Behind Target">
      <formula>NOT(ISERROR(SEARCH("In Danger of Falling Behind Target",E71)))</formula>
    </cfRule>
    <cfRule type="containsText" dxfId="3725" priority="4667" operator="containsText" text="On Track to be Achieved">
      <formula>NOT(ISERROR(SEARCH("On Track to be Achieved",E71)))</formula>
    </cfRule>
    <cfRule type="containsText" dxfId="3724" priority="4668" operator="containsText" text="Fully Achieved">
      <formula>NOT(ISERROR(SEARCH("Fully Achieved",E71)))</formula>
    </cfRule>
    <cfRule type="containsText" dxfId="3723" priority="4669" operator="containsText" text="Update not Provided">
      <formula>NOT(ISERROR(SEARCH("Update not Provided",E71)))</formula>
    </cfRule>
    <cfRule type="containsText" dxfId="3722" priority="4670" operator="containsText" text="Not yet due">
      <formula>NOT(ISERROR(SEARCH("Not yet due",E71)))</formula>
    </cfRule>
    <cfRule type="containsText" dxfId="3721" priority="4671" operator="containsText" text="Completed Behind Schedule">
      <formula>NOT(ISERROR(SEARCH("Completed Behind Schedule",E71)))</formula>
    </cfRule>
    <cfRule type="containsText" dxfId="3720" priority="4672" operator="containsText" text="Off Target">
      <formula>NOT(ISERROR(SEARCH("Off Target",E71)))</formula>
    </cfRule>
    <cfRule type="containsText" dxfId="3719" priority="4673" operator="containsText" text="In Danger of Falling Behind Target">
      <formula>NOT(ISERROR(SEARCH("In Danger of Falling Behind Target",E71)))</formula>
    </cfRule>
    <cfRule type="containsText" dxfId="3718" priority="4674" operator="containsText" text="On Track to be Achieved">
      <formula>NOT(ISERROR(SEARCH("On Track to be Achieved",E71)))</formula>
    </cfRule>
    <cfRule type="containsText" dxfId="3717" priority="4675" operator="containsText" text="Fully Achieved">
      <formula>NOT(ISERROR(SEARCH("Fully Achieved",E71)))</formula>
    </cfRule>
    <cfRule type="containsText" dxfId="3716" priority="4676" operator="containsText" text="Fully Achieved">
      <formula>NOT(ISERROR(SEARCH("Fully Achieved",E71)))</formula>
    </cfRule>
    <cfRule type="containsText" dxfId="3715" priority="4677" operator="containsText" text="Fully Achieved">
      <formula>NOT(ISERROR(SEARCH("Fully Achieved",E71)))</formula>
    </cfRule>
    <cfRule type="containsText" dxfId="3714" priority="4678" operator="containsText" text="Deferred">
      <formula>NOT(ISERROR(SEARCH("Deferred",E71)))</formula>
    </cfRule>
    <cfRule type="containsText" dxfId="3713" priority="4679" operator="containsText" text="Deleted">
      <formula>NOT(ISERROR(SEARCH("Deleted",E71)))</formula>
    </cfRule>
    <cfRule type="containsText" dxfId="3712" priority="4680" operator="containsText" text="In Danger of Falling Behind Target">
      <formula>NOT(ISERROR(SEARCH("In Danger of Falling Behind Target",E71)))</formula>
    </cfRule>
    <cfRule type="containsText" dxfId="3711" priority="4681" operator="containsText" text="Not yet due">
      <formula>NOT(ISERROR(SEARCH("Not yet due",E71)))</formula>
    </cfRule>
    <cfRule type="containsText" dxfId="3710" priority="4682" operator="containsText" text="Update not Provided">
      <formula>NOT(ISERROR(SEARCH("Update not Provided",E71)))</formula>
    </cfRule>
  </conditionalFormatting>
  <conditionalFormatting sqref="E84">
    <cfRule type="containsText" dxfId="3709" priority="4575" operator="containsText" text="On track to be achieved">
      <formula>NOT(ISERROR(SEARCH("On track to be achieved",E84)))</formula>
    </cfRule>
    <cfRule type="containsText" dxfId="3708" priority="4576" operator="containsText" text="Deferred">
      <formula>NOT(ISERROR(SEARCH("Deferred",E84)))</formula>
    </cfRule>
    <cfRule type="containsText" dxfId="3707" priority="4577" operator="containsText" text="Deleted">
      <formula>NOT(ISERROR(SEARCH("Deleted",E84)))</formula>
    </cfRule>
    <cfRule type="containsText" dxfId="3706" priority="4578" operator="containsText" text="In Danger of Falling Behind Target">
      <formula>NOT(ISERROR(SEARCH("In Danger of Falling Behind Target",E84)))</formula>
    </cfRule>
    <cfRule type="containsText" dxfId="3705" priority="4579" operator="containsText" text="Not yet due">
      <formula>NOT(ISERROR(SEARCH("Not yet due",E84)))</formula>
    </cfRule>
    <cfRule type="containsText" dxfId="3704" priority="4580" operator="containsText" text="Update not Provided">
      <formula>NOT(ISERROR(SEARCH("Update not Provided",E84)))</formula>
    </cfRule>
    <cfRule type="containsText" dxfId="3703" priority="4581" operator="containsText" text="Not yet due">
      <formula>NOT(ISERROR(SEARCH("Not yet due",E84)))</formula>
    </cfRule>
    <cfRule type="containsText" dxfId="3702" priority="4582" operator="containsText" text="Completed Behind Schedule">
      <formula>NOT(ISERROR(SEARCH("Completed Behind Schedule",E84)))</formula>
    </cfRule>
    <cfRule type="containsText" dxfId="3701" priority="4583" operator="containsText" text="Off Target">
      <formula>NOT(ISERROR(SEARCH("Off Target",E84)))</formula>
    </cfRule>
    <cfRule type="containsText" dxfId="3700" priority="4584" operator="containsText" text="On Track to be Achieved">
      <formula>NOT(ISERROR(SEARCH("On Track to be Achieved",E84)))</formula>
    </cfRule>
    <cfRule type="containsText" dxfId="3699" priority="4585" operator="containsText" text="Fully Achieved">
      <formula>NOT(ISERROR(SEARCH("Fully Achieved",E84)))</formula>
    </cfRule>
    <cfRule type="containsText" dxfId="3698" priority="4586" operator="containsText" text="Not yet due">
      <formula>NOT(ISERROR(SEARCH("Not yet due",E84)))</formula>
    </cfRule>
    <cfRule type="containsText" dxfId="3697" priority="4587" operator="containsText" text="Not Yet Due">
      <formula>NOT(ISERROR(SEARCH("Not Yet Due",E84)))</formula>
    </cfRule>
    <cfRule type="containsText" dxfId="3696" priority="4588" operator="containsText" text="Deferred">
      <formula>NOT(ISERROR(SEARCH("Deferred",E84)))</formula>
    </cfRule>
    <cfRule type="containsText" dxfId="3695" priority="4589" operator="containsText" text="Deleted">
      <formula>NOT(ISERROR(SEARCH("Deleted",E84)))</formula>
    </cfRule>
    <cfRule type="containsText" dxfId="3694" priority="4590" operator="containsText" text="In Danger of Falling Behind Target">
      <formula>NOT(ISERROR(SEARCH("In Danger of Falling Behind Target",E84)))</formula>
    </cfRule>
    <cfRule type="containsText" dxfId="3693" priority="4591" operator="containsText" text="Not yet due">
      <formula>NOT(ISERROR(SEARCH("Not yet due",E84)))</formula>
    </cfRule>
    <cfRule type="containsText" dxfId="3692" priority="4592" operator="containsText" text="Completed Behind Schedule">
      <formula>NOT(ISERROR(SEARCH("Completed Behind Schedule",E84)))</formula>
    </cfRule>
    <cfRule type="containsText" dxfId="3691" priority="4593" operator="containsText" text="Off Target">
      <formula>NOT(ISERROR(SEARCH("Off Target",E84)))</formula>
    </cfRule>
    <cfRule type="containsText" dxfId="3690" priority="4594" operator="containsText" text="In Danger of Falling Behind Target">
      <formula>NOT(ISERROR(SEARCH("In Danger of Falling Behind Target",E84)))</formula>
    </cfRule>
    <cfRule type="containsText" dxfId="3689" priority="4595" operator="containsText" text="On Track to be Achieved">
      <formula>NOT(ISERROR(SEARCH("On Track to be Achieved",E84)))</formula>
    </cfRule>
    <cfRule type="containsText" dxfId="3688" priority="4596" operator="containsText" text="Fully Achieved">
      <formula>NOT(ISERROR(SEARCH("Fully Achieved",E84)))</formula>
    </cfRule>
    <cfRule type="containsText" dxfId="3687" priority="4597" operator="containsText" text="Update not Provided">
      <formula>NOT(ISERROR(SEARCH("Update not Provided",E84)))</formula>
    </cfRule>
    <cfRule type="containsText" dxfId="3686" priority="4598" operator="containsText" text="Not yet due">
      <formula>NOT(ISERROR(SEARCH("Not yet due",E84)))</formula>
    </cfRule>
    <cfRule type="containsText" dxfId="3685" priority="4599" operator="containsText" text="Completed Behind Schedule">
      <formula>NOT(ISERROR(SEARCH("Completed Behind Schedule",E84)))</formula>
    </cfRule>
    <cfRule type="containsText" dxfId="3684" priority="4600" operator="containsText" text="Off Target">
      <formula>NOT(ISERROR(SEARCH("Off Target",E84)))</formula>
    </cfRule>
    <cfRule type="containsText" dxfId="3683" priority="4601" operator="containsText" text="In Danger of Falling Behind Target">
      <formula>NOT(ISERROR(SEARCH("In Danger of Falling Behind Target",E84)))</formula>
    </cfRule>
    <cfRule type="containsText" dxfId="3682" priority="4602" operator="containsText" text="On Track to be Achieved">
      <formula>NOT(ISERROR(SEARCH("On Track to be Achieved",E84)))</formula>
    </cfRule>
    <cfRule type="containsText" dxfId="3681" priority="4603" operator="containsText" text="Fully Achieved">
      <formula>NOT(ISERROR(SEARCH("Fully Achieved",E84)))</formula>
    </cfRule>
    <cfRule type="containsText" dxfId="3680" priority="4604" operator="containsText" text="Fully Achieved">
      <formula>NOT(ISERROR(SEARCH("Fully Achieved",E84)))</formula>
    </cfRule>
    <cfRule type="containsText" dxfId="3679" priority="4605" operator="containsText" text="Fully Achieved">
      <formula>NOT(ISERROR(SEARCH("Fully Achieved",E84)))</formula>
    </cfRule>
    <cfRule type="containsText" dxfId="3678" priority="4606" operator="containsText" text="Deferred">
      <formula>NOT(ISERROR(SEARCH("Deferred",E84)))</formula>
    </cfRule>
    <cfRule type="containsText" dxfId="3677" priority="4607" operator="containsText" text="Deleted">
      <formula>NOT(ISERROR(SEARCH("Deleted",E84)))</formula>
    </cfRule>
    <cfRule type="containsText" dxfId="3676" priority="4608" operator="containsText" text="In Danger of Falling Behind Target">
      <formula>NOT(ISERROR(SEARCH("In Danger of Falling Behind Target",E84)))</formula>
    </cfRule>
    <cfRule type="containsText" dxfId="3675" priority="4609" operator="containsText" text="Not yet due">
      <formula>NOT(ISERROR(SEARCH("Not yet due",E84)))</formula>
    </cfRule>
    <cfRule type="containsText" dxfId="3674" priority="4610" operator="containsText" text="Update not Provided">
      <formula>NOT(ISERROR(SEARCH("Update not Provided",E84)))</formula>
    </cfRule>
  </conditionalFormatting>
  <conditionalFormatting sqref="E95">
    <cfRule type="containsText" dxfId="3673" priority="4503" operator="containsText" text="On track to be achieved">
      <formula>NOT(ISERROR(SEARCH("On track to be achieved",E95)))</formula>
    </cfRule>
    <cfRule type="containsText" dxfId="3672" priority="4504" operator="containsText" text="Deferred">
      <formula>NOT(ISERROR(SEARCH("Deferred",E95)))</formula>
    </cfRule>
    <cfRule type="containsText" dxfId="3671" priority="4505" operator="containsText" text="Deleted">
      <formula>NOT(ISERROR(SEARCH("Deleted",E95)))</formula>
    </cfRule>
    <cfRule type="containsText" dxfId="3670" priority="4506" operator="containsText" text="In Danger of Falling Behind Target">
      <formula>NOT(ISERROR(SEARCH("In Danger of Falling Behind Target",E95)))</formula>
    </cfRule>
    <cfRule type="containsText" dxfId="3669" priority="4507" operator="containsText" text="Not yet due">
      <formula>NOT(ISERROR(SEARCH("Not yet due",E95)))</formula>
    </cfRule>
    <cfRule type="containsText" dxfId="3668" priority="4508" operator="containsText" text="Update not Provided">
      <formula>NOT(ISERROR(SEARCH("Update not Provided",E95)))</formula>
    </cfRule>
    <cfRule type="containsText" dxfId="3667" priority="4509" operator="containsText" text="Not yet due">
      <formula>NOT(ISERROR(SEARCH("Not yet due",E95)))</formula>
    </cfRule>
    <cfRule type="containsText" dxfId="3666" priority="4510" operator="containsText" text="Completed Behind Schedule">
      <formula>NOT(ISERROR(SEARCH("Completed Behind Schedule",E95)))</formula>
    </cfRule>
    <cfRule type="containsText" dxfId="3665" priority="4511" operator="containsText" text="Off Target">
      <formula>NOT(ISERROR(SEARCH("Off Target",E95)))</formula>
    </cfRule>
    <cfRule type="containsText" dxfId="3664" priority="4512" operator="containsText" text="On Track to be Achieved">
      <formula>NOT(ISERROR(SEARCH("On Track to be Achieved",E95)))</formula>
    </cfRule>
    <cfRule type="containsText" dxfId="3663" priority="4513" operator="containsText" text="Fully Achieved">
      <formula>NOT(ISERROR(SEARCH("Fully Achieved",E95)))</formula>
    </cfRule>
    <cfRule type="containsText" dxfId="3662" priority="4514" operator="containsText" text="Not yet due">
      <formula>NOT(ISERROR(SEARCH("Not yet due",E95)))</formula>
    </cfRule>
    <cfRule type="containsText" dxfId="3661" priority="4515" operator="containsText" text="Not Yet Due">
      <formula>NOT(ISERROR(SEARCH("Not Yet Due",E95)))</formula>
    </cfRule>
    <cfRule type="containsText" dxfId="3660" priority="4516" operator="containsText" text="Deferred">
      <formula>NOT(ISERROR(SEARCH("Deferred",E95)))</formula>
    </cfRule>
    <cfRule type="containsText" dxfId="3659" priority="4517" operator="containsText" text="Deleted">
      <formula>NOT(ISERROR(SEARCH("Deleted",E95)))</formula>
    </cfRule>
    <cfRule type="containsText" dxfId="3658" priority="4518" operator="containsText" text="In Danger of Falling Behind Target">
      <formula>NOT(ISERROR(SEARCH("In Danger of Falling Behind Target",E95)))</formula>
    </cfRule>
    <cfRule type="containsText" dxfId="3657" priority="4519" operator="containsText" text="Not yet due">
      <formula>NOT(ISERROR(SEARCH("Not yet due",E95)))</formula>
    </cfRule>
    <cfRule type="containsText" dxfId="3656" priority="4520" operator="containsText" text="Completed Behind Schedule">
      <formula>NOT(ISERROR(SEARCH("Completed Behind Schedule",E95)))</formula>
    </cfRule>
    <cfRule type="containsText" dxfId="3655" priority="4521" operator="containsText" text="Off Target">
      <formula>NOT(ISERROR(SEARCH("Off Target",E95)))</formula>
    </cfRule>
    <cfRule type="containsText" dxfId="3654" priority="4522" operator="containsText" text="In Danger of Falling Behind Target">
      <formula>NOT(ISERROR(SEARCH("In Danger of Falling Behind Target",E95)))</formula>
    </cfRule>
    <cfRule type="containsText" dxfId="3653" priority="4523" operator="containsText" text="On Track to be Achieved">
      <formula>NOT(ISERROR(SEARCH("On Track to be Achieved",E95)))</formula>
    </cfRule>
    <cfRule type="containsText" dxfId="3652" priority="4524" operator="containsText" text="Fully Achieved">
      <formula>NOT(ISERROR(SEARCH("Fully Achieved",E95)))</formula>
    </cfRule>
    <cfRule type="containsText" dxfId="3651" priority="4525" operator="containsText" text="Update not Provided">
      <formula>NOT(ISERROR(SEARCH("Update not Provided",E95)))</formula>
    </cfRule>
    <cfRule type="containsText" dxfId="3650" priority="4526" operator="containsText" text="Not yet due">
      <formula>NOT(ISERROR(SEARCH("Not yet due",E95)))</formula>
    </cfRule>
    <cfRule type="containsText" dxfId="3649" priority="4527" operator="containsText" text="Completed Behind Schedule">
      <formula>NOT(ISERROR(SEARCH("Completed Behind Schedule",E95)))</formula>
    </cfRule>
    <cfRule type="containsText" dxfId="3648" priority="4528" operator="containsText" text="Off Target">
      <formula>NOT(ISERROR(SEARCH("Off Target",E95)))</formula>
    </cfRule>
    <cfRule type="containsText" dxfId="3647" priority="4529" operator="containsText" text="In Danger of Falling Behind Target">
      <formula>NOT(ISERROR(SEARCH("In Danger of Falling Behind Target",E95)))</formula>
    </cfRule>
    <cfRule type="containsText" dxfId="3646" priority="4530" operator="containsText" text="On Track to be Achieved">
      <formula>NOT(ISERROR(SEARCH("On Track to be Achieved",E95)))</formula>
    </cfRule>
    <cfRule type="containsText" dxfId="3645" priority="4531" operator="containsText" text="Fully Achieved">
      <formula>NOT(ISERROR(SEARCH("Fully Achieved",E95)))</formula>
    </cfRule>
    <cfRule type="containsText" dxfId="3644" priority="4532" operator="containsText" text="Fully Achieved">
      <formula>NOT(ISERROR(SEARCH("Fully Achieved",E95)))</formula>
    </cfRule>
    <cfRule type="containsText" dxfId="3643" priority="4533" operator="containsText" text="Fully Achieved">
      <formula>NOT(ISERROR(SEARCH("Fully Achieved",E95)))</formula>
    </cfRule>
    <cfRule type="containsText" dxfId="3642" priority="4534" operator="containsText" text="Deferred">
      <formula>NOT(ISERROR(SEARCH("Deferred",E95)))</formula>
    </cfRule>
    <cfRule type="containsText" dxfId="3641" priority="4535" operator="containsText" text="Deleted">
      <formula>NOT(ISERROR(SEARCH("Deleted",E95)))</formula>
    </cfRule>
    <cfRule type="containsText" dxfId="3640" priority="4536" operator="containsText" text="In Danger of Falling Behind Target">
      <formula>NOT(ISERROR(SEARCH("In Danger of Falling Behind Target",E95)))</formula>
    </cfRule>
    <cfRule type="containsText" dxfId="3639" priority="4537" operator="containsText" text="Not yet due">
      <formula>NOT(ISERROR(SEARCH("Not yet due",E95)))</formula>
    </cfRule>
    <cfRule type="containsText" dxfId="3638" priority="4538" operator="containsText" text="Update not Provided">
      <formula>NOT(ISERROR(SEARCH("Update not Provided",E95)))</formula>
    </cfRule>
  </conditionalFormatting>
  <conditionalFormatting sqref="E101">
    <cfRule type="containsText" dxfId="3637" priority="4467" operator="containsText" text="On track to be achieved">
      <formula>NOT(ISERROR(SEARCH("On track to be achieved",E101)))</formula>
    </cfRule>
    <cfRule type="containsText" dxfId="3636" priority="4468" operator="containsText" text="Deferred">
      <formula>NOT(ISERROR(SEARCH("Deferred",E101)))</formula>
    </cfRule>
    <cfRule type="containsText" dxfId="3635" priority="4469" operator="containsText" text="Deleted">
      <formula>NOT(ISERROR(SEARCH("Deleted",E101)))</formula>
    </cfRule>
    <cfRule type="containsText" dxfId="3634" priority="4470" operator="containsText" text="In Danger of Falling Behind Target">
      <formula>NOT(ISERROR(SEARCH("In Danger of Falling Behind Target",E101)))</formula>
    </cfRule>
    <cfRule type="containsText" dxfId="3633" priority="4471" operator="containsText" text="Not yet due">
      <formula>NOT(ISERROR(SEARCH("Not yet due",E101)))</formula>
    </cfRule>
    <cfRule type="containsText" dxfId="3632" priority="4472" operator="containsText" text="Update not Provided">
      <formula>NOT(ISERROR(SEARCH("Update not Provided",E101)))</formula>
    </cfRule>
    <cfRule type="containsText" dxfId="3631" priority="4473" operator="containsText" text="Not yet due">
      <formula>NOT(ISERROR(SEARCH("Not yet due",E101)))</formula>
    </cfRule>
    <cfRule type="containsText" dxfId="3630" priority="4474" operator="containsText" text="Completed Behind Schedule">
      <formula>NOT(ISERROR(SEARCH("Completed Behind Schedule",E101)))</formula>
    </cfRule>
    <cfRule type="containsText" dxfId="3629" priority="4475" operator="containsText" text="Off Target">
      <formula>NOT(ISERROR(SEARCH("Off Target",E101)))</formula>
    </cfRule>
    <cfRule type="containsText" dxfId="3628" priority="4476" operator="containsText" text="On Track to be Achieved">
      <formula>NOT(ISERROR(SEARCH("On Track to be Achieved",E101)))</formula>
    </cfRule>
    <cfRule type="containsText" dxfId="3627" priority="4477" operator="containsText" text="Fully Achieved">
      <formula>NOT(ISERROR(SEARCH("Fully Achieved",E101)))</formula>
    </cfRule>
    <cfRule type="containsText" dxfId="3626" priority="4478" operator="containsText" text="Not yet due">
      <formula>NOT(ISERROR(SEARCH("Not yet due",E101)))</formula>
    </cfRule>
    <cfRule type="containsText" dxfId="3625" priority="4479" operator="containsText" text="Not Yet Due">
      <formula>NOT(ISERROR(SEARCH("Not Yet Due",E101)))</formula>
    </cfRule>
    <cfRule type="containsText" dxfId="3624" priority="4480" operator="containsText" text="Deferred">
      <formula>NOT(ISERROR(SEARCH("Deferred",E101)))</formula>
    </cfRule>
    <cfRule type="containsText" dxfId="3623" priority="4481" operator="containsText" text="Deleted">
      <formula>NOT(ISERROR(SEARCH("Deleted",E101)))</formula>
    </cfRule>
    <cfRule type="containsText" dxfId="3622" priority="4482" operator="containsText" text="In Danger of Falling Behind Target">
      <formula>NOT(ISERROR(SEARCH("In Danger of Falling Behind Target",E101)))</formula>
    </cfRule>
    <cfRule type="containsText" dxfId="3621" priority="4483" operator="containsText" text="Not yet due">
      <formula>NOT(ISERROR(SEARCH("Not yet due",E101)))</formula>
    </cfRule>
    <cfRule type="containsText" dxfId="3620" priority="4484" operator="containsText" text="Completed Behind Schedule">
      <formula>NOT(ISERROR(SEARCH("Completed Behind Schedule",E101)))</formula>
    </cfRule>
    <cfRule type="containsText" dxfId="3619" priority="4485" operator="containsText" text="Off Target">
      <formula>NOT(ISERROR(SEARCH("Off Target",E101)))</formula>
    </cfRule>
    <cfRule type="containsText" dxfId="3618" priority="4486" operator="containsText" text="In Danger of Falling Behind Target">
      <formula>NOT(ISERROR(SEARCH("In Danger of Falling Behind Target",E101)))</formula>
    </cfRule>
    <cfRule type="containsText" dxfId="3617" priority="4487" operator="containsText" text="On Track to be Achieved">
      <formula>NOT(ISERROR(SEARCH("On Track to be Achieved",E101)))</formula>
    </cfRule>
    <cfRule type="containsText" dxfId="3616" priority="4488" operator="containsText" text="Fully Achieved">
      <formula>NOT(ISERROR(SEARCH("Fully Achieved",E101)))</formula>
    </cfRule>
    <cfRule type="containsText" dxfId="3615" priority="4489" operator="containsText" text="Update not Provided">
      <formula>NOT(ISERROR(SEARCH("Update not Provided",E101)))</formula>
    </cfRule>
    <cfRule type="containsText" dxfId="3614" priority="4490" operator="containsText" text="Not yet due">
      <formula>NOT(ISERROR(SEARCH("Not yet due",E101)))</formula>
    </cfRule>
    <cfRule type="containsText" dxfId="3613" priority="4491" operator="containsText" text="Completed Behind Schedule">
      <formula>NOT(ISERROR(SEARCH("Completed Behind Schedule",E101)))</formula>
    </cfRule>
    <cfRule type="containsText" dxfId="3612" priority="4492" operator="containsText" text="Off Target">
      <formula>NOT(ISERROR(SEARCH("Off Target",E101)))</formula>
    </cfRule>
    <cfRule type="containsText" dxfId="3611" priority="4493" operator="containsText" text="In Danger of Falling Behind Target">
      <formula>NOT(ISERROR(SEARCH("In Danger of Falling Behind Target",E101)))</formula>
    </cfRule>
    <cfRule type="containsText" dxfId="3610" priority="4494" operator="containsText" text="On Track to be Achieved">
      <formula>NOT(ISERROR(SEARCH("On Track to be Achieved",E101)))</formula>
    </cfRule>
    <cfRule type="containsText" dxfId="3609" priority="4495" operator="containsText" text="Fully Achieved">
      <formula>NOT(ISERROR(SEARCH("Fully Achieved",E101)))</formula>
    </cfRule>
    <cfRule type="containsText" dxfId="3608" priority="4496" operator="containsText" text="Fully Achieved">
      <formula>NOT(ISERROR(SEARCH("Fully Achieved",E101)))</formula>
    </cfRule>
    <cfRule type="containsText" dxfId="3607" priority="4497" operator="containsText" text="Fully Achieved">
      <formula>NOT(ISERROR(SEARCH("Fully Achieved",E101)))</formula>
    </cfRule>
    <cfRule type="containsText" dxfId="3606" priority="4498" operator="containsText" text="Deferred">
      <formula>NOT(ISERROR(SEARCH("Deferred",E101)))</formula>
    </cfRule>
    <cfRule type="containsText" dxfId="3605" priority="4499" operator="containsText" text="Deleted">
      <formula>NOT(ISERROR(SEARCH("Deleted",E101)))</formula>
    </cfRule>
    <cfRule type="containsText" dxfId="3604" priority="4500" operator="containsText" text="In Danger of Falling Behind Target">
      <formula>NOT(ISERROR(SEARCH("In Danger of Falling Behind Target",E101)))</formula>
    </cfRule>
    <cfRule type="containsText" dxfId="3603" priority="4501" operator="containsText" text="Not yet due">
      <formula>NOT(ISERROR(SEARCH("Not yet due",E101)))</formula>
    </cfRule>
    <cfRule type="containsText" dxfId="3602" priority="4502" operator="containsText" text="Update not Provided">
      <formula>NOT(ISERROR(SEARCH("Update not Provided",E101)))</formula>
    </cfRule>
  </conditionalFormatting>
  <conditionalFormatting sqref="G43">
    <cfRule type="containsText" dxfId="3601" priority="3927" operator="containsText" text="On track to be achieved">
      <formula>NOT(ISERROR(SEARCH("On track to be achieved",G43)))</formula>
    </cfRule>
    <cfRule type="containsText" dxfId="3600" priority="3928" operator="containsText" text="Deferred">
      <formula>NOT(ISERROR(SEARCH("Deferred",G43)))</formula>
    </cfRule>
    <cfRule type="containsText" dxfId="3599" priority="3929" operator="containsText" text="Deleted">
      <formula>NOT(ISERROR(SEARCH("Deleted",G43)))</formula>
    </cfRule>
    <cfRule type="containsText" dxfId="3598" priority="3930" operator="containsText" text="In Danger of Falling Behind Target">
      <formula>NOT(ISERROR(SEARCH("In Danger of Falling Behind Target",G43)))</formula>
    </cfRule>
    <cfRule type="containsText" dxfId="3597" priority="3931" operator="containsText" text="Not yet due">
      <formula>NOT(ISERROR(SEARCH("Not yet due",G43)))</formula>
    </cfRule>
    <cfRule type="containsText" dxfId="3596" priority="3932" operator="containsText" text="Update not Provided">
      <formula>NOT(ISERROR(SEARCH("Update not Provided",G43)))</formula>
    </cfRule>
    <cfRule type="containsText" dxfId="3595" priority="3933" operator="containsText" text="Not yet due">
      <formula>NOT(ISERROR(SEARCH("Not yet due",G43)))</formula>
    </cfRule>
    <cfRule type="containsText" dxfId="3594" priority="3934" operator="containsText" text="Completed Behind Schedule">
      <formula>NOT(ISERROR(SEARCH("Completed Behind Schedule",G43)))</formula>
    </cfRule>
    <cfRule type="containsText" dxfId="3593" priority="3935" operator="containsText" text="Off Target">
      <formula>NOT(ISERROR(SEARCH("Off Target",G43)))</formula>
    </cfRule>
    <cfRule type="containsText" dxfId="3592" priority="3936" operator="containsText" text="On Track to be Achieved">
      <formula>NOT(ISERROR(SEARCH("On Track to be Achieved",G43)))</formula>
    </cfRule>
    <cfRule type="containsText" dxfId="3591" priority="3937" operator="containsText" text="Fully Achieved">
      <formula>NOT(ISERROR(SEARCH("Fully Achieved",G43)))</formula>
    </cfRule>
    <cfRule type="containsText" dxfId="3590" priority="3938" operator="containsText" text="Not yet due">
      <formula>NOT(ISERROR(SEARCH("Not yet due",G43)))</formula>
    </cfRule>
    <cfRule type="containsText" dxfId="3589" priority="3939" operator="containsText" text="Not Yet Due">
      <formula>NOT(ISERROR(SEARCH("Not Yet Due",G43)))</formula>
    </cfRule>
    <cfRule type="containsText" dxfId="3588" priority="3940" operator="containsText" text="Deferred">
      <formula>NOT(ISERROR(SEARCH("Deferred",G43)))</formula>
    </cfRule>
    <cfRule type="containsText" dxfId="3587" priority="3941" operator="containsText" text="Deleted">
      <formula>NOT(ISERROR(SEARCH("Deleted",G43)))</formula>
    </cfRule>
    <cfRule type="containsText" dxfId="3586" priority="3942" operator="containsText" text="In Danger of Falling Behind Target">
      <formula>NOT(ISERROR(SEARCH("In Danger of Falling Behind Target",G43)))</formula>
    </cfRule>
    <cfRule type="containsText" dxfId="3585" priority="3943" operator="containsText" text="Not yet due">
      <formula>NOT(ISERROR(SEARCH("Not yet due",G43)))</formula>
    </cfRule>
    <cfRule type="containsText" dxfId="3584" priority="3944" operator="containsText" text="Completed Behind Schedule">
      <formula>NOT(ISERROR(SEARCH("Completed Behind Schedule",G43)))</formula>
    </cfRule>
    <cfRule type="containsText" dxfId="3583" priority="3945" operator="containsText" text="Off Target">
      <formula>NOT(ISERROR(SEARCH("Off Target",G43)))</formula>
    </cfRule>
    <cfRule type="containsText" dxfId="3582" priority="3946" operator="containsText" text="In Danger of Falling Behind Target">
      <formula>NOT(ISERROR(SEARCH("In Danger of Falling Behind Target",G43)))</formula>
    </cfRule>
    <cfRule type="containsText" dxfId="3581" priority="3947" operator="containsText" text="On Track to be Achieved">
      <formula>NOT(ISERROR(SEARCH("On Track to be Achieved",G43)))</formula>
    </cfRule>
    <cfRule type="containsText" dxfId="3580" priority="3948" operator="containsText" text="Fully Achieved">
      <formula>NOT(ISERROR(SEARCH("Fully Achieved",G43)))</formula>
    </cfRule>
    <cfRule type="containsText" dxfId="3579" priority="3949" operator="containsText" text="Update not Provided">
      <formula>NOT(ISERROR(SEARCH("Update not Provided",G43)))</formula>
    </cfRule>
    <cfRule type="containsText" dxfId="3578" priority="3950" operator="containsText" text="Not yet due">
      <formula>NOT(ISERROR(SEARCH("Not yet due",G43)))</formula>
    </cfRule>
    <cfRule type="containsText" dxfId="3577" priority="3951" operator="containsText" text="Completed Behind Schedule">
      <formula>NOT(ISERROR(SEARCH("Completed Behind Schedule",G43)))</formula>
    </cfRule>
    <cfRule type="containsText" dxfId="3576" priority="3952" operator="containsText" text="Off Target">
      <formula>NOT(ISERROR(SEARCH("Off Target",G43)))</formula>
    </cfRule>
    <cfRule type="containsText" dxfId="3575" priority="3953" operator="containsText" text="In Danger of Falling Behind Target">
      <formula>NOT(ISERROR(SEARCH("In Danger of Falling Behind Target",G43)))</formula>
    </cfRule>
    <cfRule type="containsText" dxfId="3574" priority="3954" operator="containsText" text="On Track to be Achieved">
      <formula>NOT(ISERROR(SEARCH("On Track to be Achieved",G43)))</formula>
    </cfRule>
    <cfRule type="containsText" dxfId="3573" priority="3955" operator="containsText" text="Fully Achieved">
      <formula>NOT(ISERROR(SEARCH("Fully Achieved",G43)))</formula>
    </cfRule>
    <cfRule type="containsText" dxfId="3572" priority="3956" operator="containsText" text="Fully Achieved">
      <formula>NOT(ISERROR(SEARCH("Fully Achieved",G43)))</formula>
    </cfRule>
    <cfRule type="containsText" dxfId="3571" priority="3957" operator="containsText" text="Fully Achieved">
      <formula>NOT(ISERROR(SEARCH("Fully Achieved",G43)))</formula>
    </cfRule>
    <cfRule type="containsText" dxfId="3570" priority="3958" operator="containsText" text="Deferred">
      <formula>NOT(ISERROR(SEARCH("Deferred",G43)))</formula>
    </cfRule>
    <cfRule type="containsText" dxfId="3569" priority="3959" operator="containsText" text="Deleted">
      <formula>NOT(ISERROR(SEARCH("Deleted",G43)))</formula>
    </cfRule>
    <cfRule type="containsText" dxfId="3568" priority="3960" operator="containsText" text="In Danger of Falling Behind Target">
      <formula>NOT(ISERROR(SEARCH("In Danger of Falling Behind Target",G43)))</formula>
    </cfRule>
    <cfRule type="containsText" dxfId="3567" priority="3961" operator="containsText" text="Not yet due">
      <formula>NOT(ISERROR(SEARCH("Not yet due",G43)))</formula>
    </cfRule>
    <cfRule type="containsText" dxfId="3566" priority="3962" operator="containsText" text="Update not Provided">
      <formula>NOT(ISERROR(SEARCH("Update not Provided",G43)))</formula>
    </cfRule>
  </conditionalFormatting>
  <conditionalFormatting sqref="G51 G55">
    <cfRule type="containsText" dxfId="3565" priority="3891" operator="containsText" text="On track to be achieved">
      <formula>NOT(ISERROR(SEARCH("On track to be achieved",G51)))</formula>
    </cfRule>
    <cfRule type="containsText" dxfId="3564" priority="3892" operator="containsText" text="Deferred">
      <formula>NOT(ISERROR(SEARCH("Deferred",G51)))</formula>
    </cfRule>
    <cfRule type="containsText" dxfId="3563" priority="3893" operator="containsText" text="Deleted">
      <formula>NOT(ISERROR(SEARCH("Deleted",G51)))</formula>
    </cfRule>
    <cfRule type="containsText" dxfId="3562" priority="3894" operator="containsText" text="In Danger of Falling Behind Target">
      <formula>NOT(ISERROR(SEARCH("In Danger of Falling Behind Target",G51)))</formula>
    </cfRule>
    <cfRule type="containsText" dxfId="3561" priority="3895" operator="containsText" text="Not yet due">
      <formula>NOT(ISERROR(SEARCH("Not yet due",G51)))</formula>
    </cfRule>
    <cfRule type="containsText" dxfId="3560" priority="3896" operator="containsText" text="Update not Provided">
      <formula>NOT(ISERROR(SEARCH("Update not Provided",G51)))</formula>
    </cfRule>
    <cfRule type="containsText" dxfId="3559" priority="3897" operator="containsText" text="Not yet due">
      <formula>NOT(ISERROR(SEARCH("Not yet due",G51)))</formula>
    </cfRule>
    <cfRule type="containsText" dxfId="3558" priority="3898" operator="containsText" text="Completed Behind Schedule">
      <formula>NOT(ISERROR(SEARCH("Completed Behind Schedule",G51)))</formula>
    </cfRule>
    <cfRule type="containsText" dxfId="3557" priority="3899" operator="containsText" text="Off Target">
      <formula>NOT(ISERROR(SEARCH("Off Target",G51)))</formula>
    </cfRule>
    <cfRule type="containsText" dxfId="3556" priority="3900" operator="containsText" text="On Track to be Achieved">
      <formula>NOT(ISERROR(SEARCH("On Track to be Achieved",G51)))</formula>
    </cfRule>
    <cfRule type="containsText" dxfId="3555" priority="3901" operator="containsText" text="Fully Achieved">
      <formula>NOT(ISERROR(SEARCH("Fully Achieved",G51)))</formula>
    </cfRule>
    <cfRule type="containsText" dxfId="3554" priority="3902" operator="containsText" text="Not yet due">
      <formula>NOT(ISERROR(SEARCH("Not yet due",G51)))</formula>
    </cfRule>
    <cfRule type="containsText" dxfId="3553" priority="3903" operator="containsText" text="Not Yet Due">
      <formula>NOT(ISERROR(SEARCH("Not Yet Due",G51)))</formula>
    </cfRule>
    <cfRule type="containsText" dxfId="3552" priority="3904" operator="containsText" text="Deferred">
      <formula>NOT(ISERROR(SEARCH("Deferred",G51)))</formula>
    </cfRule>
    <cfRule type="containsText" dxfId="3551" priority="3905" operator="containsText" text="Deleted">
      <formula>NOT(ISERROR(SEARCH("Deleted",G51)))</formula>
    </cfRule>
    <cfRule type="containsText" dxfId="3550" priority="3906" operator="containsText" text="In Danger of Falling Behind Target">
      <formula>NOT(ISERROR(SEARCH("In Danger of Falling Behind Target",G51)))</formula>
    </cfRule>
    <cfRule type="containsText" dxfId="3549" priority="3907" operator="containsText" text="Not yet due">
      <formula>NOT(ISERROR(SEARCH("Not yet due",G51)))</formula>
    </cfRule>
    <cfRule type="containsText" dxfId="3548" priority="3908" operator="containsText" text="Completed Behind Schedule">
      <formula>NOT(ISERROR(SEARCH("Completed Behind Schedule",G51)))</formula>
    </cfRule>
    <cfRule type="containsText" dxfId="3547" priority="3909" operator="containsText" text="Off Target">
      <formula>NOT(ISERROR(SEARCH("Off Target",G51)))</formula>
    </cfRule>
    <cfRule type="containsText" dxfId="3546" priority="3910" operator="containsText" text="In Danger of Falling Behind Target">
      <formula>NOT(ISERROR(SEARCH("In Danger of Falling Behind Target",G51)))</formula>
    </cfRule>
    <cfRule type="containsText" dxfId="3545" priority="3911" operator="containsText" text="On Track to be Achieved">
      <formula>NOT(ISERROR(SEARCH("On Track to be Achieved",G51)))</formula>
    </cfRule>
    <cfRule type="containsText" dxfId="3544" priority="3912" operator="containsText" text="Fully Achieved">
      <formula>NOT(ISERROR(SEARCH("Fully Achieved",G51)))</formula>
    </cfRule>
    <cfRule type="containsText" dxfId="3543" priority="3913" operator="containsText" text="Update not Provided">
      <formula>NOT(ISERROR(SEARCH("Update not Provided",G51)))</formula>
    </cfRule>
    <cfRule type="containsText" dxfId="3542" priority="3914" operator="containsText" text="Not yet due">
      <formula>NOT(ISERROR(SEARCH("Not yet due",G51)))</formula>
    </cfRule>
    <cfRule type="containsText" dxfId="3541" priority="3915" operator="containsText" text="Completed Behind Schedule">
      <formula>NOT(ISERROR(SEARCH("Completed Behind Schedule",G51)))</formula>
    </cfRule>
    <cfRule type="containsText" dxfId="3540" priority="3916" operator="containsText" text="Off Target">
      <formula>NOT(ISERROR(SEARCH("Off Target",G51)))</formula>
    </cfRule>
    <cfRule type="containsText" dxfId="3539" priority="3917" operator="containsText" text="In Danger of Falling Behind Target">
      <formula>NOT(ISERROR(SEARCH("In Danger of Falling Behind Target",G51)))</formula>
    </cfRule>
    <cfRule type="containsText" dxfId="3538" priority="3918" operator="containsText" text="On Track to be Achieved">
      <formula>NOT(ISERROR(SEARCH("On Track to be Achieved",G51)))</formula>
    </cfRule>
    <cfRule type="containsText" dxfId="3537" priority="3919" operator="containsText" text="Fully Achieved">
      <formula>NOT(ISERROR(SEARCH("Fully Achieved",G51)))</formula>
    </cfRule>
    <cfRule type="containsText" dxfId="3536" priority="3920" operator="containsText" text="Fully Achieved">
      <formula>NOT(ISERROR(SEARCH("Fully Achieved",G51)))</formula>
    </cfRule>
    <cfRule type="containsText" dxfId="3535" priority="3921" operator="containsText" text="Fully Achieved">
      <formula>NOT(ISERROR(SEARCH("Fully Achieved",G51)))</formula>
    </cfRule>
    <cfRule type="containsText" dxfId="3534" priority="3922" operator="containsText" text="Deferred">
      <formula>NOT(ISERROR(SEARCH("Deferred",G51)))</formula>
    </cfRule>
    <cfRule type="containsText" dxfId="3533" priority="3923" operator="containsText" text="Deleted">
      <formula>NOT(ISERROR(SEARCH("Deleted",G51)))</formula>
    </cfRule>
    <cfRule type="containsText" dxfId="3532" priority="3924" operator="containsText" text="In Danger of Falling Behind Target">
      <formula>NOT(ISERROR(SEARCH("In Danger of Falling Behind Target",G51)))</formula>
    </cfRule>
    <cfRule type="containsText" dxfId="3531" priority="3925" operator="containsText" text="Not yet due">
      <formula>NOT(ISERROR(SEARCH("Not yet due",G51)))</formula>
    </cfRule>
    <cfRule type="containsText" dxfId="3530" priority="3926" operator="containsText" text="Update not Provided">
      <formula>NOT(ISERROR(SEARCH("Update not Provided",G51)))</formula>
    </cfRule>
  </conditionalFormatting>
  <conditionalFormatting sqref="G63">
    <cfRule type="containsText" dxfId="3529" priority="3855" operator="containsText" text="On track to be achieved">
      <formula>NOT(ISERROR(SEARCH("On track to be achieved",G63)))</formula>
    </cfRule>
    <cfRule type="containsText" dxfId="3528" priority="3856" operator="containsText" text="Deferred">
      <formula>NOT(ISERROR(SEARCH("Deferred",G63)))</formula>
    </cfRule>
    <cfRule type="containsText" dxfId="3527" priority="3857" operator="containsText" text="Deleted">
      <formula>NOT(ISERROR(SEARCH("Deleted",G63)))</formula>
    </cfRule>
    <cfRule type="containsText" dxfId="3526" priority="3858" operator="containsText" text="In Danger of Falling Behind Target">
      <formula>NOT(ISERROR(SEARCH("In Danger of Falling Behind Target",G63)))</formula>
    </cfRule>
    <cfRule type="containsText" dxfId="3525" priority="3859" operator="containsText" text="Not yet due">
      <formula>NOT(ISERROR(SEARCH("Not yet due",G63)))</formula>
    </cfRule>
    <cfRule type="containsText" dxfId="3524" priority="3860" operator="containsText" text="Update not Provided">
      <formula>NOT(ISERROR(SEARCH("Update not Provided",G63)))</formula>
    </cfRule>
    <cfRule type="containsText" dxfId="3523" priority="3861" operator="containsText" text="Not yet due">
      <formula>NOT(ISERROR(SEARCH("Not yet due",G63)))</formula>
    </cfRule>
    <cfRule type="containsText" dxfId="3522" priority="3862" operator="containsText" text="Completed Behind Schedule">
      <formula>NOT(ISERROR(SEARCH("Completed Behind Schedule",G63)))</formula>
    </cfRule>
    <cfRule type="containsText" dxfId="3521" priority="3863" operator="containsText" text="Off Target">
      <formula>NOT(ISERROR(SEARCH("Off Target",G63)))</formula>
    </cfRule>
    <cfRule type="containsText" dxfId="3520" priority="3864" operator="containsText" text="On Track to be Achieved">
      <formula>NOT(ISERROR(SEARCH("On Track to be Achieved",G63)))</formula>
    </cfRule>
    <cfRule type="containsText" dxfId="3519" priority="3865" operator="containsText" text="Fully Achieved">
      <formula>NOT(ISERROR(SEARCH("Fully Achieved",G63)))</formula>
    </cfRule>
    <cfRule type="containsText" dxfId="3518" priority="3866" operator="containsText" text="Not yet due">
      <formula>NOT(ISERROR(SEARCH("Not yet due",G63)))</formula>
    </cfRule>
    <cfRule type="containsText" dxfId="3517" priority="3867" operator="containsText" text="Not Yet Due">
      <formula>NOT(ISERROR(SEARCH("Not Yet Due",G63)))</formula>
    </cfRule>
    <cfRule type="containsText" dxfId="3516" priority="3868" operator="containsText" text="Deferred">
      <formula>NOT(ISERROR(SEARCH("Deferred",G63)))</formula>
    </cfRule>
    <cfRule type="containsText" dxfId="3515" priority="3869" operator="containsText" text="Deleted">
      <formula>NOT(ISERROR(SEARCH("Deleted",G63)))</formula>
    </cfRule>
    <cfRule type="containsText" dxfId="3514" priority="3870" operator="containsText" text="In Danger of Falling Behind Target">
      <formula>NOT(ISERROR(SEARCH("In Danger of Falling Behind Target",G63)))</formula>
    </cfRule>
    <cfRule type="containsText" dxfId="3513" priority="3871" operator="containsText" text="Not yet due">
      <formula>NOT(ISERROR(SEARCH("Not yet due",G63)))</formula>
    </cfRule>
    <cfRule type="containsText" dxfId="3512" priority="3872" operator="containsText" text="Completed Behind Schedule">
      <formula>NOT(ISERROR(SEARCH("Completed Behind Schedule",G63)))</formula>
    </cfRule>
    <cfRule type="containsText" dxfId="3511" priority="3873" operator="containsText" text="Off Target">
      <formula>NOT(ISERROR(SEARCH("Off Target",G63)))</formula>
    </cfRule>
    <cfRule type="containsText" dxfId="3510" priority="3874" operator="containsText" text="In Danger of Falling Behind Target">
      <formula>NOT(ISERROR(SEARCH("In Danger of Falling Behind Target",G63)))</formula>
    </cfRule>
    <cfRule type="containsText" dxfId="3509" priority="3875" operator="containsText" text="On Track to be Achieved">
      <formula>NOT(ISERROR(SEARCH("On Track to be Achieved",G63)))</formula>
    </cfRule>
    <cfRule type="containsText" dxfId="3508" priority="3876" operator="containsText" text="Fully Achieved">
      <formula>NOT(ISERROR(SEARCH("Fully Achieved",G63)))</formula>
    </cfRule>
    <cfRule type="containsText" dxfId="3507" priority="3877" operator="containsText" text="Update not Provided">
      <formula>NOT(ISERROR(SEARCH("Update not Provided",G63)))</formula>
    </cfRule>
    <cfRule type="containsText" dxfId="3506" priority="3878" operator="containsText" text="Not yet due">
      <formula>NOT(ISERROR(SEARCH("Not yet due",G63)))</formula>
    </cfRule>
    <cfRule type="containsText" dxfId="3505" priority="3879" operator="containsText" text="Completed Behind Schedule">
      <formula>NOT(ISERROR(SEARCH("Completed Behind Schedule",G63)))</formula>
    </cfRule>
    <cfRule type="containsText" dxfId="3504" priority="3880" operator="containsText" text="Off Target">
      <formula>NOT(ISERROR(SEARCH("Off Target",G63)))</formula>
    </cfRule>
    <cfRule type="containsText" dxfId="3503" priority="3881" operator="containsText" text="In Danger of Falling Behind Target">
      <formula>NOT(ISERROR(SEARCH("In Danger of Falling Behind Target",G63)))</formula>
    </cfRule>
    <cfRule type="containsText" dxfId="3502" priority="3882" operator="containsText" text="On Track to be Achieved">
      <formula>NOT(ISERROR(SEARCH("On Track to be Achieved",G63)))</formula>
    </cfRule>
    <cfRule type="containsText" dxfId="3501" priority="3883" operator="containsText" text="Fully Achieved">
      <formula>NOT(ISERROR(SEARCH("Fully Achieved",G63)))</formula>
    </cfRule>
    <cfRule type="containsText" dxfId="3500" priority="3884" operator="containsText" text="Fully Achieved">
      <formula>NOT(ISERROR(SEARCH("Fully Achieved",G63)))</formula>
    </cfRule>
    <cfRule type="containsText" dxfId="3499" priority="3885" operator="containsText" text="Fully Achieved">
      <formula>NOT(ISERROR(SEARCH("Fully Achieved",G63)))</formula>
    </cfRule>
    <cfRule type="containsText" dxfId="3498" priority="3886" operator="containsText" text="Deferred">
      <formula>NOT(ISERROR(SEARCH("Deferred",G63)))</formula>
    </cfRule>
    <cfRule type="containsText" dxfId="3497" priority="3887" operator="containsText" text="Deleted">
      <formula>NOT(ISERROR(SEARCH("Deleted",G63)))</formula>
    </cfRule>
    <cfRule type="containsText" dxfId="3496" priority="3888" operator="containsText" text="In Danger of Falling Behind Target">
      <formula>NOT(ISERROR(SEARCH("In Danger of Falling Behind Target",G63)))</formula>
    </cfRule>
    <cfRule type="containsText" dxfId="3495" priority="3889" operator="containsText" text="Not yet due">
      <formula>NOT(ISERROR(SEARCH("Not yet due",G63)))</formula>
    </cfRule>
    <cfRule type="containsText" dxfId="3494" priority="3890" operator="containsText" text="Update not Provided">
      <formula>NOT(ISERROR(SEARCH("Update not Provided",G63)))</formula>
    </cfRule>
  </conditionalFormatting>
  <conditionalFormatting sqref="G71:G73">
    <cfRule type="containsText" dxfId="3493" priority="3783" operator="containsText" text="On track to be achieved">
      <formula>NOT(ISERROR(SEARCH("On track to be achieved",G71)))</formula>
    </cfRule>
    <cfRule type="containsText" dxfId="3492" priority="3784" operator="containsText" text="Deferred">
      <formula>NOT(ISERROR(SEARCH("Deferred",G71)))</formula>
    </cfRule>
    <cfRule type="containsText" dxfId="3491" priority="3785" operator="containsText" text="Deleted">
      <formula>NOT(ISERROR(SEARCH("Deleted",G71)))</formula>
    </cfRule>
    <cfRule type="containsText" dxfId="3490" priority="3786" operator="containsText" text="In Danger of Falling Behind Target">
      <formula>NOT(ISERROR(SEARCH("In Danger of Falling Behind Target",G71)))</formula>
    </cfRule>
    <cfRule type="containsText" dxfId="3489" priority="3787" operator="containsText" text="Not yet due">
      <formula>NOT(ISERROR(SEARCH("Not yet due",G71)))</formula>
    </cfRule>
    <cfRule type="containsText" dxfId="3488" priority="3788" operator="containsText" text="Update not Provided">
      <formula>NOT(ISERROR(SEARCH("Update not Provided",G71)))</formula>
    </cfRule>
    <cfRule type="containsText" dxfId="3487" priority="3789" operator="containsText" text="Not yet due">
      <formula>NOT(ISERROR(SEARCH("Not yet due",G71)))</formula>
    </cfRule>
    <cfRule type="containsText" dxfId="3486" priority="3790" operator="containsText" text="Completed Behind Schedule">
      <formula>NOT(ISERROR(SEARCH("Completed Behind Schedule",G71)))</formula>
    </cfRule>
    <cfRule type="containsText" dxfId="3485" priority="3791" operator="containsText" text="Off Target">
      <formula>NOT(ISERROR(SEARCH("Off Target",G71)))</formula>
    </cfRule>
    <cfRule type="containsText" dxfId="3484" priority="3792" operator="containsText" text="On Track to be Achieved">
      <formula>NOT(ISERROR(SEARCH("On Track to be Achieved",G71)))</formula>
    </cfRule>
    <cfRule type="containsText" dxfId="3483" priority="3793" operator="containsText" text="Fully Achieved">
      <formula>NOT(ISERROR(SEARCH("Fully Achieved",G71)))</formula>
    </cfRule>
    <cfRule type="containsText" dxfId="3482" priority="3794" operator="containsText" text="Not yet due">
      <formula>NOT(ISERROR(SEARCH("Not yet due",G71)))</formula>
    </cfRule>
    <cfRule type="containsText" dxfId="3481" priority="3795" operator="containsText" text="Not Yet Due">
      <formula>NOT(ISERROR(SEARCH("Not Yet Due",G71)))</formula>
    </cfRule>
    <cfRule type="containsText" dxfId="3480" priority="3796" operator="containsText" text="Deferred">
      <formula>NOT(ISERROR(SEARCH("Deferred",G71)))</formula>
    </cfRule>
    <cfRule type="containsText" dxfId="3479" priority="3797" operator="containsText" text="Deleted">
      <formula>NOT(ISERROR(SEARCH("Deleted",G71)))</formula>
    </cfRule>
    <cfRule type="containsText" dxfId="3478" priority="3798" operator="containsText" text="In Danger of Falling Behind Target">
      <formula>NOT(ISERROR(SEARCH("In Danger of Falling Behind Target",G71)))</formula>
    </cfRule>
    <cfRule type="containsText" dxfId="3477" priority="3799" operator="containsText" text="Not yet due">
      <formula>NOT(ISERROR(SEARCH("Not yet due",G71)))</formula>
    </cfRule>
    <cfRule type="containsText" dxfId="3476" priority="3800" operator="containsText" text="Completed Behind Schedule">
      <formula>NOT(ISERROR(SEARCH("Completed Behind Schedule",G71)))</formula>
    </cfRule>
    <cfRule type="containsText" dxfId="3475" priority="3801" operator="containsText" text="Off Target">
      <formula>NOT(ISERROR(SEARCH("Off Target",G71)))</formula>
    </cfRule>
    <cfRule type="containsText" dxfId="3474" priority="3802" operator="containsText" text="In Danger of Falling Behind Target">
      <formula>NOT(ISERROR(SEARCH("In Danger of Falling Behind Target",G71)))</formula>
    </cfRule>
    <cfRule type="containsText" dxfId="3473" priority="3803" operator="containsText" text="On Track to be Achieved">
      <formula>NOT(ISERROR(SEARCH("On Track to be Achieved",G71)))</formula>
    </cfRule>
    <cfRule type="containsText" dxfId="3472" priority="3804" operator="containsText" text="Fully Achieved">
      <formula>NOT(ISERROR(SEARCH("Fully Achieved",G71)))</formula>
    </cfRule>
    <cfRule type="containsText" dxfId="3471" priority="3805" operator="containsText" text="Update not Provided">
      <formula>NOT(ISERROR(SEARCH("Update not Provided",G71)))</formula>
    </cfRule>
    <cfRule type="containsText" dxfId="3470" priority="3806" operator="containsText" text="Not yet due">
      <formula>NOT(ISERROR(SEARCH("Not yet due",G71)))</formula>
    </cfRule>
    <cfRule type="containsText" dxfId="3469" priority="3807" operator="containsText" text="Completed Behind Schedule">
      <formula>NOT(ISERROR(SEARCH("Completed Behind Schedule",G71)))</formula>
    </cfRule>
    <cfRule type="containsText" dxfId="3468" priority="3808" operator="containsText" text="Off Target">
      <formula>NOT(ISERROR(SEARCH("Off Target",G71)))</formula>
    </cfRule>
    <cfRule type="containsText" dxfId="3467" priority="3809" operator="containsText" text="In Danger of Falling Behind Target">
      <formula>NOT(ISERROR(SEARCH("In Danger of Falling Behind Target",G71)))</formula>
    </cfRule>
    <cfRule type="containsText" dxfId="3466" priority="3810" operator="containsText" text="On Track to be Achieved">
      <formula>NOT(ISERROR(SEARCH("On Track to be Achieved",G71)))</formula>
    </cfRule>
    <cfRule type="containsText" dxfId="3465" priority="3811" operator="containsText" text="Fully Achieved">
      <formula>NOT(ISERROR(SEARCH("Fully Achieved",G71)))</formula>
    </cfRule>
    <cfRule type="containsText" dxfId="3464" priority="3812" operator="containsText" text="Fully Achieved">
      <formula>NOT(ISERROR(SEARCH("Fully Achieved",G71)))</formula>
    </cfRule>
    <cfRule type="containsText" dxfId="3463" priority="3813" operator="containsText" text="Fully Achieved">
      <formula>NOT(ISERROR(SEARCH("Fully Achieved",G71)))</formula>
    </cfRule>
    <cfRule type="containsText" dxfId="3462" priority="3814" operator="containsText" text="Deferred">
      <formula>NOT(ISERROR(SEARCH("Deferred",G71)))</formula>
    </cfRule>
    <cfRule type="containsText" dxfId="3461" priority="3815" operator="containsText" text="Deleted">
      <formula>NOT(ISERROR(SEARCH("Deleted",G71)))</formula>
    </cfRule>
    <cfRule type="containsText" dxfId="3460" priority="3816" operator="containsText" text="In Danger of Falling Behind Target">
      <formula>NOT(ISERROR(SEARCH("In Danger of Falling Behind Target",G71)))</formula>
    </cfRule>
    <cfRule type="containsText" dxfId="3459" priority="3817" operator="containsText" text="Not yet due">
      <formula>NOT(ISERROR(SEARCH("Not yet due",G71)))</formula>
    </cfRule>
    <cfRule type="containsText" dxfId="3458" priority="3818" operator="containsText" text="Update not Provided">
      <formula>NOT(ISERROR(SEARCH("Update not Provided",G71)))</formula>
    </cfRule>
  </conditionalFormatting>
  <conditionalFormatting sqref="G76">
    <cfRule type="containsText" dxfId="3457" priority="3747" operator="containsText" text="On track to be achieved">
      <formula>NOT(ISERROR(SEARCH("On track to be achieved",G76)))</formula>
    </cfRule>
    <cfRule type="containsText" dxfId="3456" priority="3748" operator="containsText" text="Deferred">
      <formula>NOT(ISERROR(SEARCH("Deferred",G76)))</formula>
    </cfRule>
    <cfRule type="containsText" dxfId="3455" priority="3749" operator="containsText" text="Deleted">
      <formula>NOT(ISERROR(SEARCH("Deleted",G76)))</formula>
    </cfRule>
    <cfRule type="containsText" dxfId="3454" priority="3750" operator="containsText" text="In Danger of Falling Behind Target">
      <formula>NOT(ISERROR(SEARCH("In Danger of Falling Behind Target",G76)))</formula>
    </cfRule>
    <cfRule type="containsText" dxfId="3453" priority="3751" operator="containsText" text="Not yet due">
      <formula>NOT(ISERROR(SEARCH("Not yet due",G76)))</formula>
    </cfRule>
    <cfRule type="containsText" dxfId="3452" priority="3752" operator="containsText" text="Update not Provided">
      <formula>NOT(ISERROR(SEARCH("Update not Provided",G76)))</formula>
    </cfRule>
    <cfRule type="containsText" dxfId="3451" priority="3753" operator="containsText" text="Not yet due">
      <formula>NOT(ISERROR(SEARCH("Not yet due",G76)))</formula>
    </cfRule>
    <cfRule type="containsText" dxfId="3450" priority="3754" operator="containsText" text="Completed Behind Schedule">
      <formula>NOT(ISERROR(SEARCH("Completed Behind Schedule",G76)))</formula>
    </cfRule>
    <cfRule type="containsText" dxfId="3449" priority="3755" operator="containsText" text="Off Target">
      <formula>NOT(ISERROR(SEARCH("Off Target",G76)))</formula>
    </cfRule>
    <cfRule type="containsText" dxfId="3448" priority="3756" operator="containsText" text="On Track to be Achieved">
      <formula>NOT(ISERROR(SEARCH("On Track to be Achieved",G76)))</formula>
    </cfRule>
    <cfRule type="containsText" dxfId="3447" priority="3757" operator="containsText" text="Fully Achieved">
      <formula>NOT(ISERROR(SEARCH("Fully Achieved",G76)))</formula>
    </cfRule>
    <cfRule type="containsText" dxfId="3446" priority="3758" operator="containsText" text="Not yet due">
      <formula>NOT(ISERROR(SEARCH("Not yet due",G76)))</formula>
    </cfRule>
    <cfRule type="containsText" dxfId="3445" priority="3759" operator="containsText" text="Not Yet Due">
      <formula>NOT(ISERROR(SEARCH("Not Yet Due",G76)))</formula>
    </cfRule>
    <cfRule type="containsText" dxfId="3444" priority="3760" operator="containsText" text="Deferred">
      <formula>NOT(ISERROR(SEARCH("Deferred",G76)))</formula>
    </cfRule>
    <cfRule type="containsText" dxfId="3443" priority="3761" operator="containsText" text="Deleted">
      <formula>NOT(ISERROR(SEARCH("Deleted",G76)))</formula>
    </cfRule>
    <cfRule type="containsText" dxfId="3442" priority="3762" operator="containsText" text="In Danger of Falling Behind Target">
      <formula>NOT(ISERROR(SEARCH("In Danger of Falling Behind Target",G76)))</formula>
    </cfRule>
    <cfRule type="containsText" dxfId="3441" priority="3763" operator="containsText" text="Not yet due">
      <formula>NOT(ISERROR(SEARCH("Not yet due",G76)))</formula>
    </cfRule>
    <cfRule type="containsText" dxfId="3440" priority="3764" operator="containsText" text="Completed Behind Schedule">
      <formula>NOT(ISERROR(SEARCH("Completed Behind Schedule",G76)))</formula>
    </cfRule>
    <cfRule type="containsText" dxfId="3439" priority="3765" operator="containsText" text="Off Target">
      <formula>NOT(ISERROR(SEARCH("Off Target",G76)))</formula>
    </cfRule>
    <cfRule type="containsText" dxfId="3438" priority="3766" operator="containsText" text="In Danger of Falling Behind Target">
      <formula>NOT(ISERROR(SEARCH("In Danger of Falling Behind Target",G76)))</formula>
    </cfRule>
    <cfRule type="containsText" dxfId="3437" priority="3767" operator="containsText" text="On Track to be Achieved">
      <formula>NOT(ISERROR(SEARCH("On Track to be Achieved",G76)))</formula>
    </cfRule>
    <cfRule type="containsText" dxfId="3436" priority="3768" operator="containsText" text="Fully Achieved">
      <formula>NOT(ISERROR(SEARCH("Fully Achieved",G76)))</formula>
    </cfRule>
    <cfRule type="containsText" dxfId="3435" priority="3769" operator="containsText" text="Update not Provided">
      <formula>NOT(ISERROR(SEARCH("Update not Provided",G76)))</formula>
    </cfRule>
    <cfRule type="containsText" dxfId="3434" priority="3770" operator="containsText" text="Not yet due">
      <formula>NOT(ISERROR(SEARCH("Not yet due",G76)))</formula>
    </cfRule>
    <cfRule type="containsText" dxfId="3433" priority="3771" operator="containsText" text="Completed Behind Schedule">
      <formula>NOT(ISERROR(SEARCH("Completed Behind Schedule",G76)))</formula>
    </cfRule>
    <cfRule type="containsText" dxfId="3432" priority="3772" operator="containsText" text="Off Target">
      <formula>NOT(ISERROR(SEARCH("Off Target",G76)))</formula>
    </cfRule>
    <cfRule type="containsText" dxfId="3431" priority="3773" operator="containsText" text="In Danger of Falling Behind Target">
      <formula>NOT(ISERROR(SEARCH("In Danger of Falling Behind Target",G76)))</formula>
    </cfRule>
    <cfRule type="containsText" dxfId="3430" priority="3774" operator="containsText" text="On Track to be Achieved">
      <formula>NOT(ISERROR(SEARCH("On Track to be Achieved",G76)))</formula>
    </cfRule>
    <cfRule type="containsText" dxfId="3429" priority="3775" operator="containsText" text="Fully Achieved">
      <formula>NOT(ISERROR(SEARCH("Fully Achieved",G76)))</formula>
    </cfRule>
    <cfRule type="containsText" dxfId="3428" priority="3776" operator="containsText" text="Fully Achieved">
      <formula>NOT(ISERROR(SEARCH("Fully Achieved",G76)))</formula>
    </cfRule>
    <cfRule type="containsText" dxfId="3427" priority="3777" operator="containsText" text="Fully Achieved">
      <formula>NOT(ISERROR(SEARCH("Fully Achieved",G76)))</formula>
    </cfRule>
    <cfRule type="containsText" dxfId="3426" priority="3778" operator="containsText" text="Deferred">
      <formula>NOT(ISERROR(SEARCH("Deferred",G76)))</formula>
    </cfRule>
    <cfRule type="containsText" dxfId="3425" priority="3779" operator="containsText" text="Deleted">
      <formula>NOT(ISERROR(SEARCH("Deleted",G76)))</formula>
    </cfRule>
    <cfRule type="containsText" dxfId="3424" priority="3780" operator="containsText" text="In Danger of Falling Behind Target">
      <formula>NOT(ISERROR(SEARCH("In Danger of Falling Behind Target",G76)))</formula>
    </cfRule>
    <cfRule type="containsText" dxfId="3423" priority="3781" operator="containsText" text="Not yet due">
      <formula>NOT(ISERROR(SEARCH("Not yet due",G76)))</formula>
    </cfRule>
    <cfRule type="containsText" dxfId="3422" priority="3782" operator="containsText" text="Update not Provided">
      <formula>NOT(ISERROR(SEARCH("Update not Provided",G76)))</formula>
    </cfRule>
  </conditionalFormatting>
  <conditionalFormatting sqref="G86">
    <cfRule type="containsText" dxfId="3421" priority="3639" operator="containsText" text="On track to be achieved">
      <formula>NOT(ISERROR(SEARCH("On track to be achieved",G86)))</formula>
    </cfRule>
    <cfRule type="containsText" dxfId="3420" priority="3640" operator="containsText" text="Deferred">
      <formula>NOT(ISERROR(SEARCH("Deferred",G86)))</formula>
    </cfRule>
    <cfRule type="containsText" dxfId="3419" priority="3641" operator="containsText" text="Deleted">
      <formula>NOT(ISERROR(SEARCH("Deleted",G86)))</formula>
    </cfRule>
    <cfRule type="containsText" dxfId="3418" priority="3642" operator="containsText" text="In Danger of Falling Behind Target">
      <formula>NOT(ISERROR(SEARCH("In Danger of Falling Behind Target",G86)))</formula>
    </cfRule>
    <cfRule type="containsText" dxfId="3417" priority="3643" operator="containsText" text="Not yet due">
      <formula>NOT(ISERROR(SEARCH("Not yet due",G86)))</formula>
    </cfRule>
    <cfRule type="containsText" dxfId="3416" priority="3644" operator="containsText" text="Update not Provided">
      <formula>NOT(ISERROR(SEARCH("Update not Provided",G86)))</formula>
    </cfRule>
    <cfRule type="containsText" dxfId="3415" priority="3645" operator="containsText" text="Not yet due">
      <formula>NOT(ISERROR(SEARCH("Not yet due",G86)))</formula>
    </cfRule>
    <cfRule type="containsText" dxfId="3414" priority="3646" operator="containsText" text="Completed Behind Schedule">
      <formula>NOT(ISERROR(SEARCH("Completed Behind Schedule",G86)))</formula>
    </cfRule>
    <cfRule type="containsText" dxfId="3413" priority="3647" operator="containsText" text="Off Target">
      <formula>NOT(ISERROR(SEARCH("Off Target",G86)))</formula>
    </cfRule>
    <cfRule type="containsText" dxfId="3412" priority="3648" operator="containsText" text="On Track to be Achieved">
      <formula>NOT(ISERROR(SEARCH("On Track to be Achieved",G86)))</formula>
    </cfRule>
    <cfRule type="containsText" dxfId="3411" priority="3649" operator="containsText" text="Fully Achieved">
      <formula>NOT(ISERROR(SEARCH("Fully Achieved",G86)))</formula>
    </cfRule>
    <cfRule type="containsText" dxfId="3410" priority="3650" operator="containsText" text="Not yet due">
      <formula>NOT(ISERROR(SEARCH("Not yet due",G86)))</formula>
    </cfRule>
    <cfRule type="containsText" dxfId="3409" priority="3651" operator="containsText" text="Not Yet Due">
      <formula>NOT(ISERROR(SEARCH("Not Yet Due",G86)))</formula>
    </cfRule>
    <cfRule type="containsText" dxfId="3408" priority="3652" operator="containsText" text="Deferred">
      <formula>NOT(ISERROR(SEARCH("Deferred",G86)))</formula>
    </cfRule>
    <cfRule type="containsText" dxfId="3407" priority="3653" operator="containsText" text="Deleted">
      <formula>NOT(ISERROR(SEARCH("Deleted",G86)))</formula>
    </cfRule>
    <cfRule type="containsText" dxfId="3406" priority="3654" operator="containsText" text="In Danger of Falling Behind Target">
      <formula>NOT(ISERROR(SEARCH("In Danger of Falling Behind Target",G86)))</formula>
    </cfRule>
    <cfRule type="containsText" dxfId="3405" priority="3655" operator="containsText" text="Not yet due">
      <formula>NOT(ISERROR(SEARCH("Not yet due",G86)))</formula>
    </cfRule>
    <cfRule type="containsText" dxfId="3404" priority="3656" operator="containsText" text="Completed Behind Schedule">
      <formula>NOT(ISERROR(SEARCH("Completed Behind Schedule",G86)))</formula>
    </cfRule>
    <cfRule type="containsText" dxfId="3403" priority="3657" operator="containsText" text="Off Target">
      <formula>NOT(ISERROR(SEARCH("Off Target",G86)))</formula>
    </cfRule>
    <cfRule type="containsText" dxfId="3402" priority="3658" operator="containsText" text="In Danger of Falling Behind Target">
      <formula>NOT(ISERROR(SEARCH("In Danger of Falling Behind Target",G86)))</formula>
    </cfRule>
    <cfRule type="containsText" dxfId="3401" priority="3659" operator="containsText" text="On Track to be Achieved">
      <formula>NOT(ISERROR(SEARCH("On Track to be Achieved",G86)))</formula>
    </cfRule>
    <cfRule type="containsText" dxfId="3400" priority="3660" operator="containsText" text="Fully Achieved">
      <formula>NOT(ISERROR(SEARCH("Fully Achieved",G86)))</formula>
    </cfRule>
    <cfRule type="containsText" dxfId="3399" priority="3661" operator="containsText" text="Update not Provided">
      <formula>NOT(ISERROR(SEARCH("Update not Provided",G86)))</formula>
    </cfRule>
    <cfRule type="containsText" dxfId="3398" priority="3662" operator="containsText" text="Not yet due">
      <formula>NOT(ISERROR(SEARCH("Not yet due",G86)))</formula>
    </cfRule>
    <cfRule type="containsText" dxfId="3397" priority="3663" operator="containsText" text="Completed Behind Schedule">
      <formula>NOT(ISERROR(SEARCH("Completed Behind Schedule",G86)))</formula>
    </cfRule>
    <cfRule type="containsText" dxfId="3396" priority="3664" operator="containsText" text="Off Target">
      <formula>NOT(ISERROR(SEARCH("Off Target",G86)))</formula>
    </cfRule>
    <cfRule type="containsText" dxfId="3395" priority="3665" operator="containsText" text="In Danger of Falling Behind Target">
      <formula>NOT(ISERROR(SEARCH("In Danger of Falling Behind Target",G86)))</formula>
    </cfRule>
    <cfRule type="containsText" dxfId="3394" priority="3666" operator="containsText" text="On Track to be Achieved">
      <formula>NOT(ISERROR(SEARCH("On Track to be Achieved",G86)))</formula>
    </cfRule>
    <cfRule type="containsText" dxfId="3393" priority="3667" operator="containsText" text="Fully Achieved">
      <formula>NOT(ISERROR(SEARCH("Fully Achieved",G86)))</formula>
    </cfRule>
    <cfRule type="containsText" dxfId="3392" priority="3668" operator="containsText" text="Fully Achieved">
      <formula>NOT(ISERROR(SEARCH("Fully Achieved",G86)))</formula>
    </cfRule>
    <cfRule type="containsText" dxfId="3391" priority="3669" operator="containsText" text="Fully Achieved">
      <formula>NOT(ISERROR(SEARCH("Fully Achieved",G86)))</formula>
    </cfRule>
    <cfRule type="containsText" dxfId="3390" priority="3670" operator="containsText" text="Deferred">
      <formula>NOT(ISERROR(SEARCH("Deferred",G86)))</formula>
    </cfRule>
    <cfRule type="containsText" dxfId="3389" priority="3671" operator="containsText" text="Deleted">
      <formula>NOT(ISERROR(SEARCH("Deleted",G86)))</formula>
    </cfRule>
    <cfRule type="containsText" dxfId="3388" priority="3672" operator="containsText" text="In Danger of Falling Behind Target">
      <formula>NOT(ISERROR(SEARCH("In Danger of Falling Behind Target",G86)))</formula>
    </cfRule>
    <cfRule type="containsText" dxfId="3387" priority="3673" operator="containsText" text="Not yet due">
      <formula>NOT(ISERROR(SEARCH("Not yet due",G86)))</formula>
    </cfRule>
    <cfRule type="containsText" dxfId="3386" priority="3674" operator="containsText" text="Update not Provided">
      <formula>NOT(ISERROR(SEARCH("Update not Provided",G86)))</formula>
    </cfRule>
  </conditionalFormatting>
  <conditionalFormatting sqref="G89">
    <cfRule type="containsText" dxfId="3385" priority="3603" operator="containsText" text="On track to be achieved">
      <formula>NOT(ISERROR(SEARCH("On track to be achieved",G89)))</formula>
    </cfRule>
    <cfRule type="containsText" dxfId="3384" priority="3604" operator="containsText" text="Deferred">
      <formula>NOT(ISERROR(SEARCH("Deferred",G89)))</formula>
    </cfRule>
    <cfRule type="containsText" dxfId="3383" priority="3605" operator="containsText" text="Deleted">
      <formula>NOT(ISERROR(SEARCH("Deleted",G89)))</formula>
    </cfRule>
    <cfRule type="containsText" dxfId="3382" priority="3606" operator="containsText" text="In Danger of Falling Behind Target">
      <formula>NOT(ISERROR(SEARCH("In Danger of Falling Behind Target",G89)))</formula>
    </cfRule>
    <cfRule type="containsText" dxfId="3381" priority="3607" operator="containsText" text="Not yet due">
      <formula>NOT(ISERROR(SEARCH("Not yet due",G89)))</formula>
    </cfRule>
    <cfRule type="containsText" dxfId="3380" priority="3608" operator="containsText" text="Update not Provided">
      <formula>NOT(ISERROR(SEARCH("Update not Provided",G89)))</formula>
    </cfRule>
    <cfRule type="containsText" dxfId="3379" priority="3609" operator="containsText" text="Not yet due">
      <formula>NOT(ISERROR(SEARCH("Not yet due",G89)))</formula>
    </cfRule>
    <cfRule type="containsText" dxfId="3378" priority="3610" operator="containsText" text="Completed Behind Schedule">
      <formula>NOT(ISERROR(SEARCH("Completed Behind Schedule",G89)))</formula>
    </cfRule>
    <cfRule type="containsText" dxfId="3377" priority="3611" operator="containsText" text="Off Target">
      <formula>NOT(ISERROR(SEARCH("Off Target",G89)))</formula>
    </cfRule>
    <cfRule type="containsText" dxfId="3376" priority="3612" operator="containsText" text="On Track to be Achieved">
      <formula>NOT(ISERROR(SEARCH("On Track to be Achieved",G89)))</formula>
    </cfRule>
    <cfRule type="containsText" dxfId="3375" priority="3613" operator="containsText" text="Fully Achieved">
      <formula>NOT(ISERROR(SEARCH("Fully Achieved",G89)))</formula>
    </cfRule>
    <cfRule type="containsText" dxfId="3374" priority="3614" operator="containsText" text="Not yet due">
      <formula>NOT(ISERROR(SEARCH("Not yet due",G89)))</formula>
    </cfRule>
    <cfRule type="containsText" dxfId="3373" priority="3615" operator="containsText" text="Not Yet Due">
      <formula>NOT(ISERROR(SEARCH("Not Yet Due",G89)))</formula>
    </cfRule>
    <cfRule type="containsText" dxfId="3372" priority="3616" operator="containsText" text="Deferred">
      <formula>NOT(ISERROR(SEARCH("Deferred",G89)))</formula>
    </cfRule>
    <cfRule type="containsText" dxfId="3371" priority="3617" operator="containsText" text="Deleted">
      <formula>NOT(ISERROR(SEARCH("Deleted",G89)))</formula>
    </cfRule>
    <cfRule type="containsText" dxfId="3370" priority="3618" operator="containsText" text="In Danger of Falling Behind Target">
      <formula>NOT(ISERROR(SEARCH("In Danger of Falling Behind Target",G89)))</formula>
    </cfRule>
    <cfRule type="containsText" dxfId="3369" priority="3619" operator="containsText" text="Not yet due">
      <formula>NOT(ISERROR(SEARCH("Not yet due",G89)))</formula>
    </cfRule>
    <cfRule type="containsText" dxfId="3368" priority="3620" operator="containsText" text="Completed Behind Schedule">
      <formula>NOT(ISERROR(SEARCH("Completed Behind Schedule",G89)))</formula>
    </cfRule>
    <cfRule type="containsText" dxfId="3367" priority="3621" operator="containsText" text="Off Target">
      <formula>NOT(ISERROR(SEARCH("Off Target",G89)))</formula>
    </cfRule>
    <cfRule type="containsText" dxfId="3366" priority="3622" operator="containsText" text="In Danger of Falling Behind Target">
      <formula>NOT(ISERROR(SEARCH("In Danger of Falling Behind Target",G89)))</formula>
    </cfRule>
    <cfRule type="containsText" dxfId="3365" priority="3623" operator="containsText" text="On Track to be Achieved">
      <formula>NOT(ISERROR(SEARCH("On Track to be Achieved",G89)))</formula>
    </cfRule>
    <cfRule type="containsText" dxfId="3364" priority="3624" operator="containsText" text="Fully Achieved">
      <formula>NOT(ISERROR(SEARCH("Fully Achieved",G89)))</formula>
    </cfRule>
    <cfRule type="containsText" dxfId="3363" priority="3625" operator="containsText" text="Update not Provided">
      <formula>NOT(ISERROR(SEARCH("Update not Provided",G89)))</formula>
    </cfRule>
    <cfRule type="containsText" dxfId="3362" priority="3626" operator="containsText" text="Not yet due">
      <formula>NOT(ISERROR(SEARCH("Not yet due",G89)))</formula>
    </cfRule>
    <cfRule type="containsText" dxfId="3361" priority="3627" operator="containsText" text="Completed Behind Schedule">
      <formula>NOT(ISERROR(SEARCH("Completed Behind Schedule",G89)))</formula>
    </cfRule>
    <cfRule type="containsText" dxfId="3360" priority="3628" operator="containsText" text="Off Target">
      <formula>NOT(ISERROR(SEARCH("Off Target",G89)))</formula>
    </cfRule>
    <cfRule type="containsText" dxfId="3359" priority="3629" operator="containsText" text="In Danger of Falling Behind Target">
      <formula>NOT(ISERROR(SEARCH("In Danger of Falling Behind Target",G89)))</formula>
    </cfRule>
    <cfRule type="containsText" dxfId="3358" priority="3630" operator="containsText" text="On Track to be Achieved">
      <formula>NOT(ISERROR(SEARCH("On Track to be Achieved",G89)))</formula>
    </cfRule>
    <cfRule type="containsText" dxfId="3357" priority="3631" operator="containsText" text="Fully Achieved">
      <formula>NOT(ISERROR(SEARCH("Fully Achieved",G89)))</formula>
    </cfRule>
    <cfRule type="containsText" dxfId="3356" priority="3632" operator="containsText" text="Fully Achieved">
      <formula>NOT(ISERROR(SEARCH("Fully Achieved",G89)))</formula>
    </cfRule>
    <cfRule type="containsText" dxfId="3355" priority="3633" operator="containsText" text="Fully Achieved">
      <formula>NOT(ISERROR(SEARCH("Fully Achieved",G89)))</formula>
    </cfRule>
    <cfRule type="containsText" dxfId="3354" priority="3634" operator="containsText" text="Deferred">
      <formula>NOT(ISERROR(SEARCH("Deferred",G89)))</formula>
    </cfRule>
    <cfRule type="containsText" dxfId="3353" priority="3635" operator="containsText" text="Deleted">
      <formula>NOT(ISERROR(SEARCH("Deleted",G89)))</formula>
    </cfRule>
    <cfRule type="containsText" dxfId="3352" priority="3636" operator="containsText" text="In Danger of Falling Behind Target">
      <formula>NOT(ISERROR(SEARCH("In Danger of Falling Behind Target",G89)))</formula>
    </cfRule>
    <cfRule type="containsText" dxfId="3351" priority="3637" operator="containsText" text="Not yet due">
      <formula>NOT(ISERROR(SEARCH("Not yet due",G89)))</formula>
    </cfRule>
    <cfRule type="containsText" dxfId="3350" priority="3638" operator="containsText" text="Update not Provided">
      <formula>NOT(ISERROR(SEARCH("Update not Provided",G89)))</formula>
    </cfRule>
  </conditionalFormatting>
  <conditionalFormatting sqref="G101">
    <cfRule type="containsText" dxfId="3349" priority="3459" operator="containsText" text="On track to be achieved">
      <formula>NOT(ISERROR(SEARCH("On track to be achieved",G101)))</formula>
    </cfRule>
    <cfRule type="containsText" dxfId="3348" priority="3460" operator="containsText" text="Deferred">
      <formula>NOT(ISERROR(SEARCH("Deferred",G101)))</formula>
    </cfRule>
    <cfRule type="containsText" dxfId="3347" priority="3461" operator="containsText" text="Deleted">
      <formula>NOT(ISERROR(SEARCH("Deleted",G101)))</formula>
    </cfRule>
    <cfRule type="containsText" dxfId="3346" priority="3462" operator="containsText" text="In Danger of Falling Behind Target">
      <formula>NOT(ISERROR(SEARCH("In Danger of Falling Behind Target",G101)))</formula>
    </cfRule>
    <cfRule type="containsText" dxfId="3345" priority="3463" operator="containsText" text="Not yet due">
      <formula>NOT(ISERROR(SEARCH("Not yet due",G101)))</formula>
    </cfRule>
    <cfRule type="containsText" dxfId="3344" priority="3464" operator="containsText" text="Update not Provided">
      <formula>NOT(ISERROR(SEARCH("Update not Provided",G101)))</formula>
    </cfRule>
    <cfRule type="containsText" dxfId="3343" priority="3465" operator="containsText" text="Not yet due">
      <formula>NOT(ISERROR(SEARCH("Not yet due",G101)))</formula>
    </cfRule>
    <cfRule type="containsText" dxfId="3342" priority="3466" operator="containsText" text="Completed Behind Schedule">
      <formula>NOT(ISERROR(SEARCH("Completed Behind Schedule",G101)))</formula>
    </cfRule>
    <cfRule type="containsText" dxfId="3341" priority="3467" operator="containsText" text="Off Target">
      <formula>NOT(ISERROR(SEARCH("Off Target",G101)))</formula>
    </cfRule>
    <cfRule type="containsText" dxfId="3340" priority="3468" operator="containsText" text="On Track to be Achieved">
      <formula>NOT(ISERROR(SEARCH("On Track to be Achieved",G101)))</formula>
    </cfRule>
    <cfRule type="containsText" dxfId="3339" priority="3469" operator="containsText" text="Fully Achieved">
      <formula>NOT(ISERROR(SEARCH("Fully Achieved",G101)))</formula>
    </cfRule>
    <cfRule type="containsText" dxfId="3338" priority="3470" operator="containsText" text="Not yet due">
      <formula>NOT(ISERROR(SEARCH("Not yet due",G101)))</formula>
    </cfRule>
    <cfRule type="containsText" dxfId="3337" priority="3471" operator="containsText" text="Not Yet Due">
      <formula>NOT(ISERROR(SEARCH("Not Yet Due",G101)))</formula>
    </cfRule>
    <cfRule type="containsText" dxfId="3336" priority="3472" operator="containsText" text="Deferred">
      <formula>NOT(ISERROR(SEARCH("Deferred",G101)))</formula>
    </cfRule>
    <cfRule type="containsText" dxfId="3335" priority="3473" operator="containsText" text="Deleted">
      <formula>NOT(ISERROR(SEARCH("Deleted",G101)))</formula>
    </cfRule>
    <cfRule type="containsText" dxfId="3334" priority="3474" operator="containsText" text="In Danger of Falling Behind Target">
      <formula>NOT(ISERROR(SEARCH("In Danger of Falling Behind Target",G101)))</formula>
    </cfRule>
    <cfRule type="containsText" dxfId="3333" priority="3475" operator="containsText" text="Not yet due">
      <formula>NOT(ISERROR(SEARCH("Not yet due",G101)))</formula>
    </cfRule>
    <cfRule type="containsText" dxfId="3332" priority="3476" operator="containsText" text="Completed Behind Schedule">
      <formula>NOT(ISERROR(SEARCH("Completed Behind Schedule",G101)))</formula>
    </cfRule>
    <cfRule type="containsText" dxfId="3331" priority="3477" operator="containsText" text="Off Target">
      <formula>NOT(ISERROR(SEARCH("Off Target",G101)))</formula>
    </cfRule>
    <cfRule type="containsText" dxfId="3330" priority="3478" operator="containsText" text="In Danger of Falling Behind Target">
      <formula>NOT(ISERROR(SEARCH("In Danger of Falling Behind Target",G101)))</formula>
    </cfRule>
    <cfRule type="containsText" dxfId="3329" priority="3479" operator="containsText" text="On Track to be Achieved">
      <formula>NOT(ISERROR(SEARCH("On Track to be Achieved",G101)))</formula>
    </cfRule>
    <cfRule type="containsText" dxfId="3328" priority="3480" operator="containsText" text="Fully Achieved">
      <formula>NOT(ISERROR(SEARCH("Fully Achieved",G101)))</formula>
    </cfRule>
    <cfRule type="containsText" dxfId="3327" priority="3481" operator="containsText" text="Update not Provided">
      <formula>NOT(ISERROR(SEARCH("Update not Provided",G101)))</formula>
    </cfRule>
    <cfRule type="containsText" dxfId="3326" priority="3482" operator="containsText" text="Not yet due">
      <formula>NOT(ISERROR(SEARCH("Not yet due",G101)))</formula>
    </cfRule>
    <cfRule type="containsText" dxfId="3325" priority="3483" operator="containsText" text="Completed Behind Schedule">
      <formula>NOT(ISERROR(SEARCH("Completed Behind Schedule",G101)))</formula>
    </cfRule>
    <cfRule type="containsText" dxfId="3324" priority="3484" operator="containsText" text="Off Target">
      <formula>NOT(ISERROR(SEARCH("Off Target",G101)))</formula>
    </cfRule>
    <cfRule type="containsText" dxfId="3323" priority="3485" operator="containsText" text="In Danger of Falling Behind Target">
      <formula>NOT(ISERROR(SEARCH("In Danger of Falling Behind Target",G101)))</formula>
    </cfRule>
    <cfRule type="containsText" dxfId="3322" priority="3486" operator="containsText" text="On Track to be Achieved">
      <formula>NOT(ISERROR(SEARCH("On Track to be Achieved",G101)))</formula>
    </cfRule>
    <cfRule type="containsText" dxfId="3321" priority="3487" operator="containsText" text="Fully Achieved">
      <formula>NOT(ISERROR(SEARCH("Fully Achieved",G101)))</formula>
    </cfRule>
    <cfRule type="containsText" dxfId="3320" priority="3488" operator="containsText" text="Fully Achieved">
      <formula>NOT(ISERROR(SEARCH("Fully Achieved",G101)))</formula>
    </cfRule>
    <cfRule type="containsText" dxfId="3319" priority="3489" operator="containsText" text="Fully Achieved">
      <formula>NOT(ISERROR(SEARCH("Fully Achieved",G101)))</formula>
    </cfRule>
    <cfRule type="containsText" dxfId="3318" priority="3490" operator="containsText" text="Deferred">
      <formula>NOT(ISERROR(SEARCH("Deferred",G101)))</formula>
    </cfRule>
    <cfRule type="containsText" dxfId="3317" priority="3491" operator="containsText" text="Deleted">
      <formula>NOT(ISERROR(SEARCH("Deleted",G101)))</formula>
    </cfRule>
    <cfRule type="containsText" dxfId="3316" priority="3492" operator="containsText" text="In Danger of Falling Behind Target">
      <formula>NOT(ISERROR(SEARCH("In Danger of Falling Behind Target",G101)))</formula>
    </cfRule>
    <cfRule type="containsText" dxfId="3315" priority="3493" operator="containsText" text="Not yet due">
      <formula>NOT(ISERROR(SEARCH("Not yet due",G101)))</formula>
    </cfRule>
    <cfRule type="containsText" dxfId="3314" priority="3494" operator="containsText" text="Update not Provided">
      <formula>NOT(ISERROR(SEARCH("Update not Provided",G101)))</formula>
    </cfRule>
  </conditionalFormatting>
  <conditionalFormatting sqref="J1:J1048576">
    <cfRule type="containsText" dxfId="3313" priority="3385" operator="containsText" text="numerical outturn within 5% tolerance">
      <formula>NOT(ISERROR(SEARCH("numerical outturn within 5% tolerance",J1)))</formula>
    </cfRule>
    <cfRule type="containsText" dxfId="3312" priority="3386" operator="containsText" text="Target Partially Met">
      <formula>NOT(ISERROR(SEARCH("Target Partially Met",J1)))</formula>
    </cfRule>
  </conditionalFormatting>
  <conditionalFormatting sqref="I4">
    <cfRule type="containsText" dxfId="3311" priority="3349" operator="containsText" text="On track to be achieved">
      <formula>NOT(ISERROR(SEARCH("On track to be achieved",I4)))</formula>
    </cfRule>
    <cfRule type="containsText" dxfId="3310" priority="3350" operator="containsText" text="Deferred">
      <formula>NOT(ISERROR(SEARCH("Deferred",I4)))</formula>
    </cfRule>
    <cfRule type="containsText" dxfId="3309" priority="3351" operator="containsText" text="Deleted">
      <formula>NOT(ISERROR(SEARCH("Deleted",I4)))</formula>
    </cfRule>
    <cfRule type="containsText" dxfId="3308" priority="3352" operator="containsText" text="In Danger of Falling Behind Target">
      <formula>NOT(ISERROR(SEARCH("In Danger of Falling Behind Target",I4)))</formula>
    </cfRule>
    <cfRule type="containsText" dxfId="3307" priority="3353" operator="containsText" text="Not yet due">
      <formula>NOT(ISERROR(SEARCH("Not yet due",I4)))</formula>
    </cfRule>
    <cfRule type="containsText" dxfId="3306" priority="3354" operator="containsText" text="Update not Provided">
      <formula>NOT(ISERROR(SEARCH("Update not Provided",I4)))</formula>
    </cfRule>
    <cfRule type="containsText" dxfId="3305" priority="3355" operator="containsText" text="Not yet due">
      <formula>NOT(ISERROR(SEARCH("Not yet due",I4)))</formula>
    </cfRule>
    <cfRule type="containsText" dxfId="3304" priority="3356" operator="containsText" text="Completed Behind Schedule">
      <formula>NOT(ISERROR(SEARCH("Completed Behind Schedule",I4)))</formula>
    </cfRule>
    <cfRule type="containsText" dxfId="3303" priority="3357" operator="containsText" text="Off Target">
      <formula>NOT(ISERROR(SEARCH("Off Target",I4)))</formula>
    </cfRule>
    <cfRule type="containsText" dxfId="3302" priority="3358" operator="containsText" text="On Track to be Achieved">
      <formula>NOT(ISERROR(SEARCH("On Track to be Achieved",I4)))</formula>
    </cfRule>
    <cfRule type="containsText" dxfId="3301" priority="3359" operator="containsText" text="Fully Achieved">
      <formula>NOT(ISERROR(SEARCH("Fully Achieved",I4)))</formula>
    </cfRule>
    <cfRule type="containsText" dxfId="3300" priority="3360" operator="containsText" text="Not yet due">
      <formula>NOT(ISERROR(SEARCH("Not yet due",I4)))</formula>
    </cfRule>
    <cfRule type="containsText" dxfId="3299" priority="3361" operator="containsText" text="Not Yet Due">
      <formula>NOT(ISERROR(SEARCH("Not Yet Due",I4)))</formula>
    </cfRule>
    <cfRule type="containsText" dxfId="3298" priority="3362" operator="containsText" text="Deferred">
      <formula>NOT(ISERROR(SEARCH("Deferred",I4)))</formula>
    </cfRule>
    <cfRule type="containsText" dxfId="3297" priority="3363" operator="containsText" text="Deleted">
      <formula>NOT(ISERROR(SEARCH("Deleted",I4)))</formula>
    </cfRule>
    <cfRule type="containsText" dxfId="3296" priority="3364" operator="containsText" text="In Danger of Falling Behind Target">
      <formula>NOT(ISERROR(SEARCH("In Danger of Falling Behind Target",I4)))</formula>
    </cfRule>
    <cfRule type="containsText" dxfId="3295" priority="3365" operator="containsText" text="Not yet due">
      <formula>NOT(ISERROR(SEARCH("Not yet due",I4)))</formula>
    </cfRule>
    <cfRule type="containsText" dxfId="3294" priority="3366" operator="containsText" text="Completed Behind Schedule">
      <formula>NOT(ISERROR(SEARCH("Completed Behind Schedule",I4)))</formula>
    </cfRule>
    <cfRule type="containsText" dxfId="3293" priority="3367" operator="containsText" text="Off Target">
      <formula>NOT(ISERROR(SEARCH("Off Target",I4)))</formula>
    </cfRule>
    <cfRule type="containsText" dxfId="3292" priority="3368" operator="containsText" text="In Danger of Falling Behind Target">
      <formula>NOT(ISERROR(SEARCH("In Danger of Falling Behind Target",I4)))</formula>
    </cfRule>
    <cfRule type="containsText" dxfId="3291" priority="3369" operator="containsText" text="On Track to be Achieved">
      <formula>NOT(ISERROR(SEARCH("On Track to be Achieved",I4)))</formula>
    </cfRule>
    <cfRule type="containsText" dxfId="3290" priority="3370" operator="containsText" text="Fully Achieved">
      <formula>NOT(ISERROR(SEARCH("Fully Achieved",I4)))</formula>
    </cfRule>
    <cfRule type="containsText" dxfId="3289" priority="3371" operator="containsText" text="Update not Provided">
      <formula>NOT(ISERROR(SEARCH("Update not Provided",I4)))</formula>
    </cfRule>
    <cfRule type="containsText" dxfId="3288" priority="3372" operator="containsText" text="Not yet due">
      <formula>NOT(ISERROR(SEARCH("Not yet due",I4)))</formula>
    </cfRule>
    <cfRule type="containsText" dxfId="3287" priority="3373" operator="containsText" text="Completed Behind Schedule">
      <formula>NOT(ISERROR(SEARCH("Completed Behind Schedule",I4)))</formula>
    </cfRule>
    <cfRule type="containsText" dxfId="3286" priority="3374" operator="containsText" text="Off Target">
      <formula>NOT(ISERROR(SEARCH("Off Target",I4)))</formula>
    </cfRule>
    <cfRule type="containsText" dxfId="3285" priority="3375" operator="containsText" text="In Danger of Falling Behind Target">
      <formula>NOT(ISERROR(SEARCH("In Danger of Falling Behind Target",I4)))</formula>
    </cfRule>
    <cfRule type="containsText" dxfId="3284" priority="3376" operator="containsText" text="On Track to be Achieved">
      <formula>NOT(ISERROR(SEARCH("On Track to be Achieved",I4)))</formula>
    </cfRule>
    <cfRule type="containsText" dxfId="3283" priority="3377" operator="containsText" text="Fully Achieved">
      <formula>NOT(ISERROR(SEARCH("Fully Achieved",I4)))</formula>
    </cfRule>
    <cfRule type="containsText" dxfId="3282" priority="3378" operator="containsText" text="Fully Achieved">
      <formula>NOT(ISERROR(SEARCH("Fully Achieved",I4)))</formula>
    </cfRule>
    <cfRule type="containsText" dxfId="3281" priority="3379" operator="containsText" text="Fully Achieved">
      <formula>NOT(ISERROR(SEARCH("Fully Achieved",I4)))</formula>
    </cfRule>
    <cfRule type="containsText" dxfId="3280" priority="3380" operator="containsText" text="Deferred">
      <formula>NOT(ISERROR(SEARCH("Deferred",I4)))</formula>
    </cfRule>
    <cfRule type="containsText" dxfId="3279" priority="3381" operator="containsText" text="Deleted">
      <formula>NOT(ISERROR(SEARCH("Deleted",I4)))</formula>
    </cfRule>
    <cfRule type="containsText" dxfId="3278" priority="3382" operator="containsText" text="In Danger of Falling Behind Target">
      <formula>NOT(ISERROR(SEARCH("In Danger of Falling Behind Target",I4)))</formula>
    </cfRule>
    <cfRule type="containsText" dxfId="3277" priority="3383" operator="containsText" text="Not yet due">
      <formula>NOT(ISERROR(SEARCH("Not yet due",I4)))</formula>
    </cfRule>
    <cfRule type="containsText" dxfId="3276" priority="3384" operator="containsText" text="Update not Provided">
      <formula>NOT(ISERROR(SEARCH("Update not Provided",I4)))</formula>
    </cfRule>
  </conditionalFormatting>
  <conditionalFormatting sqref="I6:I11">
    <cfRule type="containsText" dxfId="3275" priority="3313" operator="containsText" text="On track to be achieved">
      <formula>NOT(ISERROR(SEARCH("On track to be achieved",I6)))</formula>
    </cfRule>
    <cfRule type="containsText" dxfId="3274" priority="3314" operator="containsText" text="Deferred">
      <formula>NOT(ISERROR(SEARCH("Deferred",I6)))</formula>
    </cfRule>
    <cfRule type="containsText" dxfId="3273" priority="3315" operator="containsText" text="Deleted">
      <formula>NOT(ISERROR(SEARCH("Deleted",I6)))</formula>
    </cfRule>
    <cfRule type="containsText" dxfId="3272" priority="3316" operator="containsText" text="In Danger of Falling Behind Target">
      <formula>NOT(ISERROR(SEARCH("In Danger of Falling Behind Target",I6)))</formula>
    </cfRule>
    <cfRule type="containsText" dxfId="3271" priority="3317" operator="containsText" text="Not yet due">
      <formula>NOT(ISERROR(SEARCH("Not yet due",I6)))</formula>
    </cfRule>
    <cfRule type="containsText" dxfId="3270" priority="3318" operator="containsText" text="Update not Provided">
      <formula>NOT(ISERROR(SEARCH("Update not Provided",I6)))</formula>
    </cfRule>
    <cfRule type="containsText" dxfId="3269" priority="3319" operator="containsText" text="Not yet due">
      <formula>NOT(ISERROR(SEARCH("Not yet due",I6)))</formula>
    </cfRule>
    <cfRule type="containsText" dxfId="3268" priority="3320" operator="containsText" text="Completed Behind Schedule">
      <formula>NOT(ISERROR(SEARCH("Completed Behind Schedule",I6)))</formula>
    </cfRule>
    <cfRule type="containsText" dxfId="3267" priority="3321" operator="containsText" text="Off Target">
      <formula>NOT(ISERROR(SEARCH("Off Target",I6)))</formula>
    </cfRule>
    <cfRule type="containsText" dxfId="3266" priority="3322" operator="containsText" text="On Track to be Achieved">
      <formula>NOT(ISERROR(SEARCH("On Track to be Achieved",I6)))</formula>
    </cfRule>
    <cfRule type="containsText" dxfId="3265" priority="3323" operator="containsText" text="Fully Achieved">
      <formula>NOT(ISERROR(SEARCH("Fully Achieved",I6)))</formula>
    </cfRule>
    <cfRule type="containsText" dxfId="3264" priority="3324" operator="containsText" text="Not yet due">
      <formula>NOT(ISERROR(SEARCH("Not yet due",I6)))</formula>
    </cfRule>
    <cfRule type="containsText" dxfId="3263" priority="3325" operator="containsText" text="Not Yet Due">
      <formula>NOT(ISERROR(SEARCH("Not Yet Due",I6)))</formula>
    </cfRule>
    <cfRule type="containsText" dxfId="3262" priority="3326" operator="containsText" text="Deferred">
      <formula>NOT(ISERROR(SEARCH("Deferred",I6)))</formula>
    </cfRule>
    <cfRule type="containsText" dxfId="3261" priority="3327" operator="containsText" text="Deleted">
      <formula>NOT(ISERROR(SEARCH("Deleted",I6)))</formula>
    </cfRule>
    <cfRule type="containsText" dxfId="3260" priority="3328" operator="containsText" text="In Danger of Falling Behind Target">
      <formula>NOT(ISERROR(SEARCH("In Danger of Falling Behind Target",I6)))</formula>
    </cfRule>
    <cfRule type="containsText" dxfId="3259" priority="3329" operator="containsText" text="Not yet due">
      <formula>NOT(ISERROR(SEARCH("Not yet due",I6)))</formula>
    </cfRule>
    <cfRule type="containsText" dxfId="3258" priority="3330" operator="containsText" text="Completed Behind Schedule">
      <formula>NOT(ISERROR(SEARCH("Completed Behind Schedule",I6)))</formula>
    </cfRule>
    <cfRule type="containsText" dxfId="3257" priority="3331" operator="containsText" text="Off Target">
      <formula>NOT(ISERROR(SEARCH("Off Target",I6)))</formula>
    </cfRule>
    <cfRule type="containsText" dxfId="3256" priority="3332" operator="containsText" text="In Danger of Falling Behind Target">
      <formula>NOT(ISERROR(SEARCH("In Danger of Falling Behind Target",I6)))</formula>
    </cfRule>
    <cfRule type="containsText" dxfId="3255" priority="3333" operator="containsText" text="On Track to be Achieved">
      <formula>NOT(ISERROR(SEARCH("On Track to be Achieved",I6)))</formula>
    </cfRule>
    <cfRule type="containsText" dxfId="3254" priority="3334" operator="containsText" text="Fully Achieved">
      <formula>NOT(ISERROR(SEARCH("Fully Achieved",I6)))</formula>
    </cfRule>
    <cfRule type="containsText" dxfId="3253" priority="3335" operator="containsText" text="Update not Provided">
      <formula>NOT(ISERROR(SEARCH("Update not Provided",I6)))</formula>
    </cfRule>
    <cfRule type="containsText" dxfId="3252" priority="3336" operator="containsText" text="Not yet due">
      <formula>NOT(ISERROR(SEARCH("Not yet due",I6)))</formula>
    </cfRule>
    <cfRule type="containsText" dxfId="3251" priority="3337" operator="containsText" text="Completed Behind Schedule">
      <formula>NOT(ISERROR(SEARCH("Completed Behind Schedule",I6)))</formula>
    </cfRule>
    <cfRule type="containsText" dxfId="3250" priority="3338" operator="containsText" text="Off Target">
      <formula>NOT(ISERROR(SEARCH("Off Target",I6)))</formula>
    </cfRule>
    <cfRule type="containsText" dxfId="3249" priority="3339" operator="containsText" text="In Danger of Falling Behind Target">
      <formula>NOT(ISERROR(SEARCH("In Danger of Falling Behind Target",I6)))</formula>
    </cfRule>
    <cfRule type="containsText" dxfId="3248" priority="3340" operator="containsText" text="On Track to be Achieved">
      <formula>NOT(ISERROR(SEARCH("On Track to be Achieved",I6)))</formula>
    </cfRule>
    <cfRule type="containsText" dxfId="3247" priority="3341" operator="containsText" text="Fully Achieved">
      <formula>NOT(ISERROR(SEARCH("Fully Achieved",I6)))</formula>
    </cfRule>
    <cfRule type="containsText" dxfId="3246" priority="3342" operator="containsText" text="Fully Achieved">
      <formula>NOT(ISERROR(SEARCH("Fully Achieved",I6)))</formula>
    </cfRule>
    <cfRule type="containsText" dxfId="3245" priority="3343" operator="containsText" text="Fully Achieved">
      <formula>NOT(ISERROR(SEARCH("Fully Achieved",I6)))</formula>
    </cfRule>
    <cfRule type="containsText" dxfId="3244" priority="3344" operator="containsText" text="Deferred">
      <formula>NOT(ISERROR(SEARCH("Deferred",I6)))</formula>
    </cfRule>
    <cfRule type="containsText" dxfId="3243" priority="3345" operator="containsText" text="Deleted">
      <formula>NOT(ISERROR(SEARCH("Deleted",I6)))</formula>
    </cfRule>
    <cfRule type="containsText" dxfId="3242" priority="3346" operator="containsText" text="In Danger of Falling Behind Target">
      <formula>NOT(ISERROR(SEARCH("In Danger of Falling Behind Target",I6)))</formula>
    </cfRule>
    <cfRule type="containsText" dxfId="3241" priority="3347" operator="containsText" text="Not yet due">
      <formula>NOT(ISERROR(SEARCH("Not yet due",I6)))</formula>
    </cfRule>
    <cfRule type="containsText" dxfId="3240" priority="3348" operator="containsText" text="Update not Provided">
      <formula>NOT(ISERROR(SEARCH("Update not Provided",I6)))</formula>
    </cfRule>
  </conditionalFormatting>
  <conditionalFormatting sqref="I12:I13">
    <cfRule type="containsText" dxfId="3239" priority="3277" operator="containsText" text="On track to be achieved">
      <formula>NOT(ISERROR(SEARCH("On track to be achieved",I12)))</formula>
    </cfRule>
    <cfRule type="containsText" dxfId="3238" priority="3278" operator="containsText" text="Deferred">
      <formula>NOT(ISERROR(SEARCH("Deferred",I12)))</formula>
    </cfRule>
    <cfRule type="containsText" dxfId="3237" priority="3279" operator="containsText" text="Deleted">
      <formula>NOT(ISERROR(SEARCH("Deleted",I12)))</formula>
    </cfRule>
    <cfRule type="containsText" dxfId="3236" priority="3280" operator="containsText" text="In Danger of Falling Behind Target">
      <formula>NOT(ISERROR(SEARCH("In Danger of Falling Behind Target",I12)))</formula>
    </cfRule>
    <cfRule type="containsText" dxfId="3235" priority="3281" operator="containsText" text="Not yet due">
      <formula>NOT(ISERROR(SEARCH("Not yet due",I12)))</formula>
    </cfRule>
    <cfRule type="containsText" dxfId="3234" priority="3282" operator="containsText" text="Update not Provided">
      <formula>NOT(ISERROR(SEARCH("Update not Provided",I12)))</formula>
    </cfRule>
    <cfRule type="containsText" dxfId="3233" priority="3283" operator="containsText" text="Not yet due">
      <formula>NOT(ISERROR(SEARCH("Not yet due",I12)))</formula>
    </cfRule>
    <cfRule type="containsText" dxfId="3232" priority="3284" operator="containsText" text="Completed Behind Schedule">
      <formula>NOT(ISERROR(SEARCH("Completed Behind Schedule",I12)))</formula>
    </cfRule>
    <cfRule type="containsText" dxfId="3231" priority="3285" operator="containsText" text="Off Target">
      <formula>NOT(ISERROR(SEARCH("Off Target",I12)))</formula>
    </cfRule>
    <cfRule type="containsText" dxfId="3230" priority="3286" operator="containsText" text="On Track to be Achieved">
      <formula>NOT(ISERROR(SEARCH("On Track to be Achieved",I12)))</formula>
    </cfRule>
    <cfRule type="containsText" dxfId="3229" priority="3287" operator="containsText" text="Fully Achieved">
      <formula>NOT(ISERROR(SEARCH("Fully Achieved",I12)))</formula>
    </cfRule>
    <cfRule type="containsText" dxfId="3228" priority="3288" operator="containsText" text="Not yet due">
      <formula>NOT(ISERROR(SEARCH("Not yet due",I12)))</formula>
    </cfRule>
    <cfRule type="containsText" dxfId="3227" priority="3289" operator="containsText" text="Not Yet Due">
      <formula>NOT(ISERROR(SEARCH("Not Yet Due",I12)))</formula>
    </cfRule>
    <cfRule type="containsText" dxfId="3226" priority="3290" operator="containsText" text="Deferred">
      <formula>NOT(ISERROR(SEARCH("Deferred",I12)))</formula>
    </cfRule>
    <cfRule type="containsText" dxfId="3225" priority="3291" operator="containsText" text="Deleted">
      <formula>NOT(ISERROR(SEARCH("Deleted",I12)))</formula>
    </cfRule>
    <cfRule type="containsText" dxfId="3224" priority="3292" operator="containsText" text="In Danger of Falling Behind Target">
      <formula>NOT(ISERROR(SEARCH("In Danger of Falling Behind Target",I12)))</formula>
    </cfRule>
    <cfRule type="containsText" dxfId="3223" priority="3293" operator="containsText" text="Not yet due">
      <formula>NOT(ISERROR(SEARCH("Not yet due",I12)))</formula>
    </cfRule>
    <cfRule type="containsText" dxfId="3222" priority="3294" operator="containsText" text="Completed Behind Schedule">
      <formula>NOT(ISERROR(SEARCH("Completed Behind Schedule",I12)))</formula>
    </cfRule>
    <cfRule type="containsText" dxfId="3221" priority="3295" operator="containsText" text="Off Target">
      <formula>NOT(ISERROR(SEARCH("Off Target",I12)))</formula>
    </cfRule>
    <cfRule type="containsText" dxfId="3220" priority="3296" operator="containsText" text="In Danger of Falling Behind Target">
      <formula>NOT(ISERROR(SEARCH("In Danger of Falling Behind Target",I12)))</formula>
    </cfRule>
    <cfRule type="containsText" dxfId="3219" priority="3297" operator="containsText" text="On Track to be Achieved">
      <formula>NOT(ISERROR(SEARCH("On Track to be Achieved",I12)))</formula>
    </cfRule>
    <cfRule type="containsText" dxfId="3218" priority="3298" operator="containsText" text="Fully Achieved">
      <formula>NOT(ISERROR(SEARCH("Fully Achieved",I12)))</formula>
    </cfRule>
    <cfRule type="containsText" dxfId="3217" priority="3299" operator="containsText" text="Update not Provided">
      <formula>NOT(ISERROR(SEARCH("Update not Provided",I12)))</formula>
    </cfRule>
    <cfRule type="containsText" dxfId="3216" priority="3300" operator="containsText" text="Not yet due">
      <formula>NOT(ISERROR(SEARCH("Not yet due",I12)))</formula>
    </cfRule>
    <cfRule type="containsText" dxfId="3215" priority="3301" operator="containsText" text="Completed Behind Schedule">
      <formula>NOT(ISERROR(SEARCH("Completed Behind Schedule",I12)))</formula>
    </cfRule>
    <cfRule type="containsText" dxfId="3214" priority="3302" operator="containsText" text="Off Target">
      <formula>NOT(ISERROR(SEARCH("Off Target",I12)))</formula>
    </cfRule>
    <cfRule type="containsText" dxfId="3213" priority="3303" operator="containsText" text="In Danger of Falling Behind Target">
      <formula>NOT(ISERROR(SEARCH("In Danger of Falling Behind Target",I12)))</formula>
    </cfRule>
    <cfRule type="containsText" dxfId="3212" priority="3304" operator="containsText" text="On Track to be Achieved">
      <formula>NOT(ISERROR(SEARCH("On Track to be Achieved",I12)))</formula>
    </cfRule>
    <cfRule type="containsText" dxfId="3211" priority="3305" operator="containsText" text="Fully Achieved">
      <formula>NOT(ISERROR(SEARCH("Fully Achieved",I12)))</formula>
    </cfRule>
    <cfRule type="containsText" dxfId="3210" priority="3306" operator="containsText" text="Fully Achieved">
      <formula>NOT(ISERROR(SEARCH("Fully Achieved",I12)))</formula>
    </cfRule>
    <cfRule type="containsText" dxfId="3209" priority="3307" operator="containsText" text="Fully Achieved">
      <formula>NOT(ISERROR(SEARCH("Fully Achieved",I12)))</formula>
    </cfRule>
    <cfRule type="containsText" dxfId="3208" priority="3308" operator="containsText" text="Deferred">
      <formula>NOT(ISERROR(SEARCH("Deferred",I12)))</formula>
    </cfRule>
    <cfRule type="containsText" dxfId="3207" priority="3309" operator="containsText" text="Deleted">
      <formula>NOT(ISERROR(SEARCH("Deleted",I12)))</formula>
    </cfRule>
    <cfRule type="containsText" dxfId="3206" priority="3310" operator="containsText" text="In Danger of Falling Behind Target">
      <formula>NOT(ISERROR(SEARCH("In Danger of Falling Behind Target",I12)))</formula>
    </cfRule>
    <cfRule type="containsText" dxfId="3205" priority="3311" operator="containsText" text="Not yet due">
      <formula>NOT(ISERROR(SEARCH("Not yet due",I12)))</formula>
    </cfRule>
    <cfRule type="containsText" dxfId="3204" priority="3312" operator="containsText" text="Update not Provided">
      <formula>NOT(ISERROR(SEARCH("Update not Provided",I12)))</formula>
    </cfRule>
  </conditionalFormatting>
  <conditionalFormatting sqref="I14:I19">
    <cfRule type="containsText" dxfId="3203" priority="3241" operator="containsText" text="On track to be achieved">
      <formula>NOT(ISERROR(SEARCH("On track to be achieved",I14)))</formula>
    </cfRule>
    <cfRule type="containsText" dxfId="3202" priority="3242" operator="containsText" text="Deferred">
      <formula>NOT(ISERROR(SEARCH("Deferred",I14)))</formula>
    </cfRule>
    <cfRule type="containsText" dxfId="3201" priority="3243" operator="containsText" text="Deleted">
      <formula>NOT(ISERROR(SEARCH("Deleted",I14)))</formula>
    </cfRule>
    <cfRule type="containsText" dxfId="3200" priority="3244" operator="containsText" text="In Danger of Falling Behind Target">
      <formula>NOT(ISERROR(SEARCH("In Danger of Falling Behind Target",I14)))</formula>
    </cfRule>
    <cfRule type="containsText" dxfId="3199" priority="3245" operator="containsText" text="Not yet due">
      <formula>NOT(ISERROR(SEARCH("Not yet due",I14)))</formula>
    </cfRule>
    <cfRule type="containsText" dxfId="3198" priority="3246" operator="containsText" text="Update not Provided">
      <formula>NOT(ISERROR(SEARCH("Update not Provided",I14)))</formula>
    </cfRule>
    <cfRule type="containsText" dxfId="3197" priority="3247" operator="containsText" text="Not yet due">
      <formula>NOT(ISERROR(SEARCH("Not yet due",I14)))</formula>
    </cfRule>
    <cfRule type="containsText" dxfId="3196" priority="3248" operator="containsText" text="Completed Behind Schedule">
      <formula>NOT(ISERROR(SEARCH("Completed Behind Schedule",I14)))</formula>
    </cfRule>
    <cfRule type="containsText" dxfId="3195" priority="3249" operator="containsText" text="Off Target">
      <formula>NOT(ISERROR(SEARCH("Off Target",I14)))</formula>
    </cfRule>
    <cfRule type="containsText" dxfId="3194" priority="3250" operator="containsText" text="On Track to be Achieved">
      <formula>NOT(ISERROR(SEARCH("On Track to be Achieved",I14)))</formula>
    </cfRule>
    <cfRule type="containsText" dxfId="3193" priority="3251" operator="containsText" text="Fully Achieved">
      <formula>NOT(ISERROR(SEARCH("Fully Achieved",I14)))</formula>
    </cfRule>
    <cfRule type="containsText" dxfId="3192" priority="3252" operator="containsText" text="Not yet due">
      <formula>NOT(ISERROR(SEARCH("Not yet due",I14)))</formula>
    </cfRule>
    <cfRule type="containsText" dxfId="3191" priority="3253" operator="containsText" text="Not Yet Due">
      <formula>NOT(ISERROR(SEARCH("Not Yet Due",I14)))</formula>
    </cfRule>
    <cfRule type="containsText" dxfId="3190" priority="3254" operator="containsText" text="Deferred">
      <formula>NOT(ISERROR(SEARCH("Deferred",I14)))</formula>
    </cfRule>
    <cfRule type="containsText" dxfId="3189" priority="3255" operator="containsText" text="Deleted">
      <formula>NOT(ISERROR(SEARCH("Deleted",I14)))</formula>
    </cfRule>
    <cfRule type="containsText" dxfId="3188" priority="3256" operator="containsText" text="In Danger of Falling Behind Target">
      <formula>NOT(ISERROR(SEARCH("In Danger of Falling Behind Target",I14)))</formula>
    </cfRule>
    <cfRule type="containsText" dxfId="3187" priority="3257" operator="containsText" text="Not yet due">
      <formula>NOT(ISERROR(SEARCH("Not yet due",I14)))</formula>
    </cfRule>
    <cfRule type="containsText" dxfId="3186" priority="3258" operator="containsText" text="Completed Behind Schedule">
      <formula>NOT(ISERROR(SEARCH("Completed Behind Schedule",I14)))</formula>
    </cfRule>
    <cfRule type="containsText" dxfId="3185" priority="3259" operator="containsText" text="Off Target">
      <formula>NOT(ISERROR(SEARCH("Off Target",I14)))</formula>
    </cfRule>
    <cfRule type="containsText" dxfId="3184" priority="3260" operator="containsText" text="In Danger of Falling Behind Target">
      <formula>NOT(ISERROR(SEARCH("In Danger of Falling Behind Target",I14)))</formula>
    </cfRule>
    <cfRule type="containsText" dxfId="3183" priority="3261" operator="containsText" text="On Track to be Achieved">
      <formula>NOT(ISERROR(SEARCH("On Track to be Achieved",I14)))</formula>
    </cfRule>
    <cfRule type="containsText" dxfId="3182" priority="3262" operator="containsText" text="Fully Achieved">
      <formula>NOT(ISERROR(SEARCH("Fully Achieved",I14)))</formula>
    </cfRule>
    <cfRule type="containsText" dxfId="3181" priority="3263" operator="containsText" text="Update not Provided">
      <formula>NOT(ISERROR(SEARCH("Update not Provided",I14)))</formula>
    </cfRule>
    <cfRule type="containsText" dxfId="3180" priority="3264" operator="containsText" text="Not yet due">
      <formula>NOT(ISERROR(SEARCH("Not yet due",I14)))</formula>
    </cfRule>
    <cfRule type="containsText" dxfId="3179" priority="3265" operator="containsText" text="Completed Behind Schedule">
      <formula>NOT(ISERROR(SEARCH("Completed Behind Schedule",I14)))</formula>
    </cfRule>
    <cfRule type="containsText" dxfId="3178" priority="3266" operator="containsText" text="Off Target">
      <formula>NOT(ISERROR(SEARCH("Off Target",I14)))</formula>
    </cfRule>
    <cfRule type="containsText" dxfId="3177" priority="3267" operator="containsText" text="In Danger of Falling Behind Target">
      <formula>NOT(ISERROR(SEARCH("In Danger of Falling Behind Target",I14)))</formula>
    </cfRule>
    <cfRule type="containsText" dxfId="3176" priority="3268" operator="containsText" text="On Track to be Achieved">
      <formula>NOT(ISERROR(SEARCH("On Track to be Achieved",I14)))</formula>
    </cfRule>
    <cfRule type="containsText" dxfId="3175" priority="3269" operator="containsText" text="Fully Achieved">
      <formula>NOT(ISERROR(SEARCH("Fully Achieved",I14)))</formula>
    </cfRule>
    <cfRule type="containsText" dxfId="3174" priority="3270" operator="containsText" text="Fully Achieved">
      <formula>NOT(ISERROR(SEARCH("Fully Achieved",I14)))</formula>
    </cfRule>
    <cfRule type="containsText" dxfId="3173" priority="3271" operator="containsText" text="Fully Achieved">
      <formula>NOT(ISERROR(SEARCH("Fully Achieved",I14)))</formula>
    </cfRule>
    <cfRule type="containsText" dxfId="3172" priority="3272" operator="containsText" text="Deferred">
      <formula>NOT(ISERROR(SEARCH("Deferred",I14)))</formula>
    </cfRule>
    <cfRule type="containsText" dxfId="3171" priority="3273" operator="containsText" text="Deleted">
      <formula>NOT(ISERROR(SEARCH("Deleted",I14)))</formula>
    </cfRule>
    <cfRule type="containsText" dxfId="3170" priority="3274" operator="containsText" text="In Danger of Falling Behind Target">
      <formula>NOT(ISERROR(SEARCH("In Danger of Falling Behind Target",I14)))</formula>
    </cfRule>
    <cfRule type="containsText" dxfId="3169" priority="3275" operator="containsText" text="Not yet due">
      <formula>NOT(ISERROR(SEARCH("Not yet due",I14)))</formula>
    </cfRule>
    <cfRule type="containsText" dxfId="3168" priority="3276" operator="containsText" text="Update not Provided">
      <formula>NOT(ISERROR(SEARCH("Update not Provided",I14)))</formula>
    </cfRule>
  </conditionalFormatting>
  <conditionalFormatting sqref="I20">
    <cfRule type="containsText" dxfId="3167" priority="3205" operator="containsText" text="On track to be achieved">
      <formula>NOT(ISERROR(SEARCH("On track to be achieved",I20)))</formula>
    </cfRule>
    <cfRule type="containsText" dxfId="3166" priority="3206" operator="containsText" text="Deferred">
      <formula>NOT(ISERROR(SEARCH("Deferred",I20)))</formula>
    </cfRule>
    <cfRule type="containsText" dxfId="3165" priority="3207" operator="containsText" text="Deleted">
      <formula>NOT(ISERROR(SEARCH("Deleted",I20)))</formula>
    </cfRule>
    <cfRule type="containsText" dxfId="3164" priority="3208" operator="containsText" text="In Danger of Falling Behind Target">
      <formula>NOT(ISERROR(SEARCH("In Danger of Falling Behind Target",I20)))</formula>
    </cfRule>
    <cfRule type="containsText" dxfId="3163" priority="3209" operator="containsText" text="Not yet due">
      <formula>NOT(ISERROR(SEARCH("Not yet due",I20)))</formula>
    </cfRule>
    <cfRule type="containsText" dxfId="3162" priority="3210" operator="containsText" text="Update not Provided">
      <formula>NOT(ISERROR(SEARCH("Update not Provided",I20)))</formula>
    </cfRule>
    <cfRule type="containsText" dxfId="3161" priority="3211" operator="containsText" text="Not yet due">
      <formula>NOT(ISERROR(SEARCH("Not yet due",I20)))</formula>
    </cfRule>
    <cfRule type="containsText" dxfId="3160" priority="3212" operator="containsText" text="Completed Behind Schedule">
      <formula>NOT(ISERROR(SEARCH("Completed Behind Schedule",I20)))</formula>
    </cfRule>
    <cfRule type="containsText" dxfId="3159" priority="3213" operator="containsText" text="Off Target">
      <formula>NOT(ISERROR(SEARCH("Off Target",I20)))</formula>
    </cfRule>
    <cfRule type="containsText" dxfId="3158" priority="3214" operator="containsText" text="On Track to be Achieved">
      <formula>NOT(ISERROR(SEARCH("On Track to be Achieved",I20)))</formula>
    </cfRule>
    <cfRule type="containsText" dxfId="3157" priority="3215" operator="containsText" text="Fully Achieved">
      <formula>NOT(ISERROR(SEARCH("Fully Achieved",I20)))</formula>
    </cfRule>
    <cfRule type="containsText" dxfId="3156" priority="3216" operator="containsText" text="Not yet due">
      <formula>NOT(ISERROR(SEARCH("Not yet due",I20)))</formula>
    </cfRule>
    <cfRule type="containsText" dxfId="3155" priority="3217" operator="containsText" text="Not Yet Due">
      <formula>NOT(ISERROR(SEARCH("Not Yet Due",I20)))</formula>
    </cfRule>
    <cfRule type="containsText" dxfId="3154" priority="3218" operator="containsText" text="Deferred">
      <formula>NOT(ISERROR(SEARCH("Deferred",I20)))</formula>
    </cfRule>
    <cfRule type="containsText" dxfId="3153" priority="3219" operator="containsText" text="Deleted">
      <formula>NOT(ISERROR(SEARCH("Deleted",I20)))</formula>
    </cfRule>
    <cfRule type="containsText" dxfId="3152" priority="3220" operator="containsText" text="In Danger of Falling Behind Target">
      <formula>NOT(ISERROR(SEARCH("In Danger of Falling Behind Target",I20)))</formula>
    </cfRule>
    <cfRule type="containsText" dxfId="3151" priority="3221" operator="containsText" text="Not yet due">
      <formula>NOT(ISERROR(SEARCH("Not yet due",I20)))</formula>
    </cfRule>
    <cfRule type="containsText" dxfId="3150" priority="3222" operator="containsText" text="Completed Behind Schedule">
      <formula>NOT(ISERROR(SEARCH("Completed Behind Schedule",I20)))</formula>
    </cfRule>
    <cfRule type="containsText" dxfId="3149" priority="3223" operator="containsText" text="Off Target">
      <formula>NOT(ISERROR(SEARCH("Off Target",I20)))</formula>
    </cfRule>
    <cfRule type="containsText" dxfId="3148" priority="3224" operator="containsText" text="In Danger of Falling Behind Target">
      <formula>NOT(ISERROR(SEARCH("In Danger of Falling Behind Target",I20)))</formula>
    </cfRule>
    <cfRule type="containsText" dxfId="3147" priority="3225" operator="containsText" text="On Track to be Achieved">
      <formula>NOT(ISERROR(SEARCH("On Track to be Achieved",I20)))</formula>
    </cfRule>
    <cfRule type="containsText" dxfId="3146" priority="3226" operator="containsText" text="Fully Achieved">
      <formula>NOT(ISERROR(SEARCH("Fully Achieved",I20)))</formula>
    </cfRule>
    <cfRule type="containsText" dxfId="3145" priority="3227" operator="containsText" text="Update not Provided">
      <formula>NOT(ISERROR(SEARCH("Update not Provided",I20)))</formula>
    </cfRule>
    <cfRule type="containsText" dxfId="3144" priority="3228" operator="containsText" text="Not yet due">
      <formula>NOT(ISERROR(SEARCH("Not yet due",I20)))</formula>
    </cfRule>
    <cfRule type="containsText" dxfId="3143" priority="3229" operator="containsText" text="Completed Behind Schedule">
      <formula>NOT(ISERROR(SEARCH("Completed Behind Schedule",I20)))</formula>
    </cfRule>
    <cfRule type="containsText" dxfId="3142" priority="3230" operator="containsText" text="Off Target">
      <formula>NOT(ISERROR(SEARCH("Off Target",I20)))</formula>
    </cfRule>
    <cfRule type="containsText" dxfId="3141" priority="3231" operator="containsText" text="In Danger of Falling Behind Target">
      <formula>NOT(ISERROR(SEARCH("In Danger of Falling Behind Target",I20)))</formula>
    </cfRule>
    <cfRule type="containsText" dxfId="3140" priority="3232" operator="containsText" text="On Track to be Achieved">
      <formula>NOT(ISERROR(SEARCH("On Track to be Achieved",I20)))</formula>
    </cfRule>
    <cfRule type="containsText" dxfId="3139" priority="3233" operator="containsText" text="Fully Achieved">
      <formula>NOT(ISERROR(SEARCH("Fully Achieved",I20)))</formula>
    </cfRule>
    <cfRule type="containsText" dxfId="3138" priority="3234" operator="containsText" text="Fully Achieved">
      <formula>NOT(ISERROR(SEARCH("Fully Achieved",I20)))</formula>
    </cfRule>
    <cfRule type="containsText" dxfId="3137" priority="3235" operator="containsText" text="Fully Achieved">
      <formula>NOT(ISERROR(SEARCH("Fully Achieved",I20)))</formula>
    </cfRule>
    <cfRule type="containsText" dxfId="3136" priority="3236" operator="containsText" text="Deferred">
      <formula>NOT(ISERROR(SEARCH("Deferred",I20)))</formula>
    </cfRule>
    <cfRule type="containsText" dxfId="3135" priority="3237" operator="containsText" text="Deleted">
      <formula>NOT(ISERROR(SEARCH("Deleted",I20)))</formula>
    </cfRule>
    <cfRule type="containsText" dxfId="3134" priority="3238" operator="containsText" text="In Danger of Falling Behind Target">
      <formula>NOT(ISERROR(SEARCH("In Danger of Falling Behind Target",I20)))</formula>
    </cfRule>
    <cfRule type="containsText" dxfId="3133" priority="3239" operator="containsText" text="Not yet due">
      <formula>NOT(ISERROR(SEARCH("Not yet due",I20)))</formula>
    </cfRule>
    <cfRule type="containsText" dxfId="3132" priority="3240" operator="containsText" text="Update not Provided">
      <formula>NOT(ISERROR(SEARCH("Update not Provided",I20)))</formula>
    </cfRule>
  </conditionalFormatting>
  <conditionalFormatting sqref="I22">
    <cfRule type="containsText" dxfId="3131" priority="3169" operator="containsText" text="On track to be achieved">
      <formula>NOT(ISERROR(SEARCH("On track to be achieved",I22)))</formula>
    </cfRule>
    <cfRule type="containsText" dxfId="3130" priority="3170" operator="containsText" text="Deferred">
      <formula>NOT(ISERROR(SEARCH("Deferred",I22)))</formula>
    </cfRule>
    <cfRule type="containsText" dxfId="3129" priority="3171" operator="containsText" text="Deleted">
      <formula>NOT(ISERROR(SEARCH("Deleted",I22)))</formula>
    </cfRule>
    <cfRule type="containsText" dxfId="3128" priority="3172" operator="containsText" text="In Danger of Falling Behind Target">
      <formula>NOT(ISERROR(SEARCH("In Danger of Falling Behind Target",I22)))</formula>
    </cfRule>
    <cfRule type="containsText" dxfId="3127" priority="3173" operator="containsText" text="Not yet due">
      <formula>NOT(ISERROR(SEARCH("Not yet due",I22)))</formula>
    </cfRule>
    <cfRule type="containsText" dxfId="3126" priority="3174" operator="containsText" text="Update not Provided">
      <formula>NOT(ISERROR(SEARCH("Update not Provided",I22)))</formula>
    </cfRule>
    <cfRule type="containsText" dxfId="3125" priority="3175" operator="containsText" text="Not yet due">
      <formula>NOT(ISERROR(SEARCH("Not yet due",I22)))</formula>
    </cfRule>
    <cfRule type="containsText" dxfId="3124" priority="3176" operator="containsText" text="Completed Behind Schedule">
      <formula>NOT(ISERROR(SEARCH("Completed Behind Schedule",I22)))</formula>
    </cfRule>
    <cfRule type="containsText" dxfId="3123" priority="3177" operator="containsText" text="Off Target">
      <formula>NOT(ISERROR(SEARCH("Off Target",I22)))</formula>
    </cfRule>
    <cfRule type="containsText" dxfId="3122" priority="3178" operator="containsText" text="On Track to be Achieved">
      <formula>NOT(ISERROR(SEARCH("On Track to be Achieved",I22)))</formula>
    </cfRule>
    <cfRule type="containsText" dxfId="3121" priority="3179" operator="containsText" text="Fully Achieved">
      <formula>NOT(ISERROR(SEARCH("Fully Achieved",I22)))</formula>
    </cfRule>
    <cfRule type="containsText" dxfId="3120" priority="3180" operator="containsText" text="Not yet due">
      <formula>NOT(ISERROR(SEARCH("Not yet due",I22)))</formula>
    </cfRule>
    <cfRule type="containsText" dxfId="3119" priority="3181" operator="containsText" text="Not Yet Due">
      <formula>NOT(ISERROR(SEARCH("Not Yet Due",I22)))</formula>
    </cfRule>
    <cfRule type="containsText" dxfId="3118" priority="3182" operator="containsText" text="Deferred">
      <formula>NOT(ISERROR(SEARCH("Deferred",I22)))</formula>
    </cfRule>
    <cfRule type="containsText" dxfId="3117" priority="3183" operator="containsText" text="Deleted">
      <formula>NOT(ISERROR(SEARCH("Deleted",I22)))</formula>
    </cfRule>
    <cfRule type="containsText" dxfId="3116" priority="3184" operator="containsText" text="In Danger of Falling Behind Target">
      <formula>NOT(ISERROR(SEARCH("In Danger of Falling Behind Target",I22)))</formula>
    </cfRule>
    <cfRule type="containsText" dxfId="3115" priority="3185" operator="containsText" text="Not yet due">
      <formula>NOT(ISERROR(SEARCH("Not yet due",I22)))</formula>
    </cfRule>
    <cfRule type="containsText" dxfId="3114" priority="3186" operator="containsText" text="Completed Behind Schedule">
      <formula>NOT(ISERROR(SEARCH("Completed Behind Schedule",I22)))</formula>
    </cfRule>
    <cfRule type="containsText" dxfId="3113" priority="3187" operator="containsText" text="Off Target">
      <formula>NOT(ISERROR(SEARCH("Off Target",I22)))</formula>
    </cfRule>
    <cfRule type="containsText" dxfId="3112" priority="3188" operator="containsText" text="In Danger of Falling Behind Target">
      <formula>NOT(ISERROR(SEARCH("In Danger of Falling Behind Target",I22)))</formula>
    </cfRule>
    <cfRule type="containsText" dxfId="3111" priority="3189" operator="containsText" text="On Track to be Achieved">
      <formula>NOT(ISERROR(SEARCH("On Track to be Achieved",I22)))</formula>
    </cfRule>
    <cfRule type="containsText" dxfId="3110" priority="3190" operator="containsText" text="Fully Achieved">
      <formula>NOT(ISERROR(SEARCH("Fully Achieved",I22)))</formula>
    </cfRule>
    <cfRule type="containsText" dxfId="3109" priority="3191" operator="containsText" text="Update not Provided">
      <formula>NOT(ISERROR(SEARCH("Update not Provided",I22)))</formula>
    </cfRule>
    <cfRule type="containsText" dxfId="3108" priority="3192" operator="containsText" text="Not yet due">
      <formula>NOT(ISERROR(SEARCH("Not yet due",I22)))</formula>
    </cfRule>
    <cfRule type="containsText" dxfId="3107" priority="3193" operator="containsText" text="Completed Behind Schedule">
      <formula>NOT(ISERROR(SEARCH("Completed Behind Schedule",I22)))</formula>
    </cfRule>
    <cfRule type="containsText" dxfId="3106" priority="3194" operator="containsText" text="Off Target">
      <formula>NOT(ISERROR(SEARCH("Off Target",I22)))</formula>
    </cfRule>
    <cfRule type="containsText" dxfId="3105" priority="3195" operator="containsText" text="In Danger of Falling Behind Target">
      <formula>NOT(ISERROR(SEARCH("In Danger of Falling Behind Target",I22)))</formula>
    </cfRule>
    <cfRule type="containsText" dxfId="3104" priority="3196" operator="containsText" text="On Track to be Achieved">
      <formula>NOT(ISERROR(SEARCH("On Track to be Achieved",I22)))</formula>
    </cfRule>
    <cfRule type="containsText" dxfId="3103" priority="3197" operator="containsText" text="Fully Achieved">
      <formula>NOT(ISERROR(SEARCH("Fully Achieved",I22)))</formula>
    </cfRule>
    <cfRule type="containsText" dxfId="3102" priority="3198" operator="containsText" text="Fully Achieved">
      <formula>NOT(ISERROR(SEARCH("Fully Achieved",I22)))</formula>
    </cfRule>
    <cfRule type="containsText" dxfId="3101" priority="3199" operator="containsText" text="Fully Achieved">
      <formula>NOT(ISERROR(SEARCH("Fully Achieved",I22)))</formula>
    </cfRule>
    <cfRule type="containsText" dxfId="3100" priority="3200" operator="containsText" text="Deferred">
      <formula>NOT(ISERROR(SEARCH("Deferred",I22)))</formula>
    </cfRule>
    <cfRule type="containsText" dxfId="3099" priority="3201" operator="containsText" text="Deleted">
      <formula>NOT(ISERROR(SEARCH("Deleted",I22)))</formula>
    </cfRule>
    <cfRule type="containsText" dxfId="3098" priority="3202" operator="containsText" text="In Danger of Falling Behind Target">
      <formula>NOT(ISERROR(SEARCH("In Danger of Falling Behind Target",I22)))</formula>
    </cfRule>
    <cfRule type="containsText" dxfId="3097" priority="3203" operator="containsText" text="Not yet due">
      <formula>NOT(ISERROR(SEARCH("Not yet due",I22)))</formula>
    </cfRule>
    <cfRule type="containsText" dxfId="3096" priority="3204" operator="containsText" text="Update not Provided">
      <formula>NOT(ISERROR(SEARCH("Update not Provided",I22)))</formula>
    </cfRule>
  </conditionalFormatting>
  <conditionalFormatting sqref="I23:I24">
    <cfRule type="containsText" dxfId="3095" priority="3133" operator="containsText" text="On track to be achieved">
      <formula>NOT(ISERROR(SEARCH("On track to be achieved",I23)))</formula>
    </cfRule>
    <cfRule type="containsText" dxfId="3094" priority="3134" operator="containsText" text="Deferred">
      <formula>NOT(ISERROR(SEARCH("Deferred",I23)))</formula>
    </cfRule>
    <cfRule type="containsText" dxfId="3093" priority="3135" operator="containsText" text="Deleted">
      <formula>NOT(ISERROR(SEARCH("Deleted",I23)))</formula>
    </cfRule>
    <cfRule type="containsText" dxfId="3092" priority="3136" operator="containsText" text="In Danger of Falling Behind Target">
      <formula>NOT(ISERROR(SEARCH("In Danger of Falling Behind Target",I23)))</formula>
    </cfRule>
    <cfRule type="containsText" dxfId="3091" priority="3137" operator="containsText" text="Not yet due">
      <formula>NOT(ISERROR(SEARCH("Not yet due",I23)))</formula>
    </cfRule>
    <cfRule type="containsText" dxfId="3090" priority="3138" operator="containsText" text="Update not Provided">
      <formula>NOT(ISERROR(SEARCH("Update not Provided",I23)))</formula>
    </cfRule>
    <cfRule type="containsText" dxfId="3089" priority="3139" operator="containsText" text="Not yet due">
      <formula>NOT(ISERROR(SEARCH("Not yet due",I23)))</formula>
    </cfRule>
    <cfRule type="containsText" dxfId="3088" priority="3140" operator="containsText" text="Completed Behind Schedule">
      <formula>NOT(ISERROR(SEARCH("Completed Behind Schedule",I23)))</formula>
    </cfRule>
    <cfRule type="containsText" dxfId="3087" priority="3141" operator="containsText" text="Off Target">
      <formula>NOT(ISERROR(SEARCH("Off Target",I23)))</formula>
    </cfRule>
    <cfRule type="containsText" dxfId="3086" priority="3142" operator="containsText" text="On Track to be Achieved">
      <formula>NOT(ISERROR(SEARCH("On Track to be Achieved",I23)))</formula>
    </cfRule>
    <cfRule type="containsText" dxfId="3085" priority="3143" operator="containsText" text="Fully Achieved">
      <formula>NOT(ISERROR(SEARCH("Fully Achieved",I23)))</formula>
    </cfRule>
    <cfRule type="containsText" dxfId="3084" priority="3144" operator="containsText" text="Not yet due">
      <formula>NOT(ISERROR(SEARCH("Not yet due",I23)))</formula>
    </cfRule>
    <cfRule type="containsText" dxfId="3083" priority="3145" operator="containsText" text="Not Yet Due">
      <formula>NOT(ISERROR(SEARCH("Not Yet Due",I23)))</formula>
    </cfRule>
    <cfRule type="containsText" dxfId="3082" priority="3146" operator="containsText" text="Deferred">
      <formula>NOT(ISERROR(SEARCH("Deferred",I23)))</formula>
    </cfRule>
    <cfRule type="containsText" dxfId="3081" priority="3147" operator="containsText" text="Deleted">
      <formula>NOT(ISERROR(SEARCH("Deleted",I23)))</formula>
    </cfRule>
    <cfRule type="containsText" dxfId="3080" priority="3148" operator="containsText" text="In Danger of Falling Behind Target">
      <formula>NOT(ISERROR(SEARCH("In Danger of Falling Behind Target",I23)))</formula>
    </cfRule>
    <cfRule type="containsText" dxfId="3079" priority="3149" operator="containsText" text="Not yet due">
      <formula>NOT(ISERROR(SEARCH("Not yet due",I23)))</formula>
    </cfRule>
    <cfRule type="containsText" dxfId="3078" priority="3150" operator="containsText" text="Completed Behind Schedule">
      <formula>NOT(ISERROR(SEARCH("Completed Behind Schedule",I23)))</formula>
    </cfRule>
    <cfRule type="containsText" dxfId="3077" priority="3151" operator="containsText" text="Off Target">
      <formula>NOT(ISERROR(SEARCH("Off Target",I23)))</formula>
    </cfRule>
    <cfRule type="containsText" dxfId="3076" priority="3152" operator="containsText" text="In Danger of Falling Behind Target">
      <formula>NOT(ISERROR(SEARCH("In Danger of Falling Behind Target",I23)))</formula>
    </cfRule>
    <cfRule type="containsText" dxfId="3075" priority="3153" operator="containsText" text="On Track to be Achieved">
      <formula>NOT(ISERROR(SEARCH("On Track to be Achieved",I23)))</formula>
    </cfRule>
    <cfRule type="containsText" dxfId="3074" priority="3154" operator="containsText" text="Fully Achieved">
      <formula>NOT(ISERROR(SEARCH("Fully Achieved",I23)))</formula>
    </cfRule>
    <cfRule type="containsText" dxfId="3073" priority="3155" operator="containsText" text="Update not Provided">
      <formula>NOT(ISERROR(SEARCH("Update not Provided",I23)))</formula>
    </cfRule>
    <cfRule type="containsText" dxfId="3072" priority="3156" operator="containsText" text="Not yet due">
      <formula>NOT(ISERROR(SEARCH("Not yet due",I23)))</formula>
    </cfRule>
    <cfRule type="containsText" dxfId="3071" priority="3157" operator="containsText" text="Completed Behind Schedule">
      <formula>NOT(ISERROR(SEARCH("Completed Behind Schedule",I23)))</formula>
    </cfRule>
    <cfRule type="containsText" dxfId="3070" priority="3158" operator="containsText" text="Off Target">
      <formula>NOT(ISERROR(SEARCH("Off Target",I23)))</formula>
    </cfRule>
    <cfRule type="containsText" dxfId="3069" priority="3159" operator="containsText" text="In Danger of Falling Behind Target">
      <formula>NOT(ISERROR(SEARCH("In Danger of Falling Behind Target",I23)))</formula>
    </cfRule>
    <cfRule type="containsText" dxfId="3068" priority="3160" operator="containsText" text="On Track to be Achieved">
      <formula>NOT(ISERROR(SEARCH("On Track to be Achieved",I23)))</formula>
    </cfRule>
    <cfRule type="containsText" dxfId="3067" priority="3161" operator="containsText" text="Fully Achieved">
      <formula>NOT(ISERROR(SEARCH("Fully Achieved",I23)))</formula>
    </cfRule>
    <cfRule type="containsText" dxfId="3066" priority="3162" operator="containsText" text="Fully Achieved">
      <formula>NOT(ISERROR(SEARCH("Fully Achieved",I23)))</formula>
    </cfRule>
    <cfRule type="containsText" dxfId="3065" priority="3163" operator="containsText" text="Fully Achieved">
      <formula>NOT(ISERROR(SEARCH("Fully Achieved",I23)))</formula>
    </cfRule>
    <cfRule type="containsText" dxfId="3064" priority="3164" operator="containsText" text="Deferred">
      <formula>NOT(ISERROR(SEARCH("Deferred",I23)))</formula>
    </cfRule>
    <cfRule type="containsText" dxfId="3063" priority="3165" operator="containsText" text="Deleted">
      <formula>NOT(ISERROR(SEARCH("Deleted",I23)))</formula>
    </cfRule>
    <cfRule type="containsText" dxfId="3062" priority="3166" operator="containsText" text="In Danger of Falling Behind Target">
      <formula>NOT(ISERROR(SEARCH("In Danger of Falling Behind Target",I23)))</formula>
    </cfRule>
    <cfRule type="containsText" dxfId="3061" priority="3167" operator="containsText" text="Not yet due">
      <formula>NOT(ISERROR(SEARCH("Not yet due",I23)))</formula>
    </cfRule>
    <cfRule type="containsText" dxfId="3060" priority="3168" operator="containsText" text="Update not Provided">
      <formula>NOT(ISERROR(SEARCH("Update not Provided",I23)))</formula>
    </cfRule>
  </conditionalFormatting>
  <conditionalFormatting sqref="I26:I28">
    <cfRule type="containsText" dxfId="3059" priority="3097" operator="containsText" text="On track to be achieved">
      <formula>NOT(ISERROR(SEARCH("On track to be achieved",I26)))</formula>
    </cfRule>
    <cfRule type="containsText" dxfId="3058" priority="3098" operator="containsText" text="Deferred">
      <formula>NOT(ISERROR(SEARCH("Deferred",I26)))</formula>
    </cfRule>
    <cfRule type="containsText" dxfId="3057" priority="3099" operator="containsText" text="Deleted">
      <formula>NOT(ISERROR(SEARCH("Deleted",I26)))</formula>
    </cfRule>
    <cfRule type="containsText" dxfId="3056" priority="3100" operator="containsText" text="In Danger of Falling Behind Target">
      <formula>NOT(ISERROR(SEARCH("In Danger of Falling Behind Target",I26)))</formula>
    </cfRule>
    <cfRule type="containsText" dxfId="3055" priority="3101" operator="containsText" text="Not yet due">
      <formula>NOT(ISERROR(SEARCH("Not yet due",I26)))</formula>
    </cfRule>
    <cfRule type="containsText" dxfId="3054" priority="3102" operator="containsText" text="Update not Provided">
      <formula>NOT(ISERROR(SEARCH("Update not Provided",I26)))</formula>
    </cfRule>
    <cfRule type="containsText" dxfId="3053" priority="3103" operator="containsText" text="Not yet due">
      <formula>NOT(ISERROR(SEARCH("Not yet due",I26)))</formula>
    </cfRule>
    <cfRule type="containsText" dxfId="3052" priority="3104" operator="containsText" text="Completed Behind Schedule">
      <formula>NOT(ISERROR(SEARCH("Completed Behind Schedule",I26)))</formula>
    </cfRule>
    <cfRule type="containsText" dxfId="3051" priority="3105" operator="containsText" text="Off Target">
      <formula>NOT(ISERROR(SEARCH("Off Target",I26)))</formula>
    </cfRule>
    <cfRule type="containsText" dxfId="3050" priority="3106" operator="containsText" text="On Track to be Achieved">
      <formula>NOT(ISERROR(SEARCH("On Track to be Achieved",I26)))</formula>
    </cfRule>
    <cfRule type="containsText" dxfId="3049" priority="3107" operator="containsText" text="Fully Achieved">
      <formula>NOT(ISERROR(SEARCH("Fully Achieved",I26)))</formula>
    </cfRule>
    <cfRule type="containsText" dxfId="3048" priority="3108" operator="containsText" text="Not yet due">
      <formula>NOT(ISERROR(SEARCH("Not yet due",I26)))</formula>
    </cfRule>
    <cfRule type="containsText" dxfId="3047" priority="3109" operator="containsText" text="Not Yet Due">
      <formula>NOT(ISERROR(SEARCH("Not Yet Due",I26)))</formula>
    </cfRule>
    <cfRule type="containsText" dxfId="3046" priority="3110" operator="containsText" text="Deferred">
      <formula>NOT(ISERROR(SEARCH("Deferred",I26)))</formula>
    </cfRule>
    <cfRule type="containsText" dxfId="3045" priority="3111" operator="containsText" text="Deleted">
      <formula>NOT(ISERROR(SEARCH("Deleted",I26)))</formula>
    </cfRule>
    <cfRule type="containsText" dxfId="3044" priority="3112" operator="containsText" text="In Danger of Falling Behind Target">
      <formula>NOT(ISERROR(SEARCH("In Danger of Falling Behind Target",I26)))</formula>
    </cfRule>
    <cfRule type="containsText" dxfId="3043" priority="3113" operator="containsText" text="Not yet due">
      <formula>NOT(ISERROR(SEARCH("Not yet due",I26)))</formula>
    </cfRule>
    <cfRule type="containsText" dxfId="3042" priority="3114" operator="containsText" text="Completed Behind Schedule">
      <formula>NOT(ISERROR(SEARCH("Completed Behind Schedule",I26)))</formula>
    </cfRule>
    <cfRule type="containsText" dxfId="3041" priority="3115" operator="containsText" text="Off Target">
      <formula>NOT(ISERROR(SEARCH("Off Target",I26)))</formula>
    </cfRule>
    <cfRule type="containsText" dxfId="3040" priority="3116" operator="containsText" text="In Danger of Falling Behind Target">
      <formula>NOT(ISERROR(SEARCH("In Danger of Falling Behind Target",I26)))</formula>
    </cfRule>
    <cfRule type="containsText" dxfId="3039" priority="3117" operator="containsText" text="On Track to be Achieved">
      <formula>NOT(ISERROR(SEARCH("On Track to be Achieved",I26)))</formula>
    </cfRule>
    <cfRule type="containsText" dxfId="3038" priority="3118" operator="containsText" text="Fully Achieved">
      <formula>NOT(ISERROR(SEARCH("Fully Achieved",I26)))</formula>
    </cfRule>
    <cfRule type="containsText" dxfId="3037" priority="3119" operator="containsText" text="Update not Provided">
      <formula>NOT(ISERROR(SEARCH("Update not Provided",I26)))</formula>
    </cfRule>
    <cfRule type="containsText" dxfId="3036" priority="3120" operator="containsText" text="Not yet due">
      <formula>NOT(ISERROR(SEARCH("Not yet due",I26)))</formula>
    </cfRule>
    <cfRule type="containsText" dxfId="3035" priority="3121" operator="containsText" text="Completed Behind Schedule">
      <formula>NOT(ISERROR(SEARCH("Completed Behind Schedule",I26)))</formula>
    </cfRule>
    <cfRule type="containsText" dxfId="3034" priority="3122" operator="containsText" text="Off Target">
      <formula>NOT(ISERROR(SEARCH("Off Target",I26)))</formula>
    </cfRule>
    <cfRule type="containsText" dxfId="3033" priority="3123" operator="containsText" text="In Danger of Falling Behind Target">
      <formula>NOT(ISERROR(SEARCH("In Danger of Falling Behind Target",I26)))</formula>
    </cfRule>
    <cfRule type="containsText" dxfId="3032" priority="3124" operator="containsText" text="On Track to be Achieved">
      <formula>NOT(ISERROR(SEARCH("On Track to be Achieved",I26)))</formula>
    </cfRule>
    <cfRule type="containsText" dxfId="3031" priority="3125" operator="containsText" text="Fully Achieved">
      <formula>NOT(ISERROR(SEARCH("Fully Achieved",I26)))</formula>
    </cfRule>
    <cfRule type="containsText" dxfId="3030" priority="3126" operator="containsText" text="Fully Achieved">
      <formula>NOT(ISERROR(SEARCH("Fully Achieved",I26)))</formula>
    </cfRule>
    <cfRule type="containsText" dxfId="3029" priority="3127" operator="containsText" text="Fully Achieved">
      <formula>NOT(ISERROR(SEARCH("Fully Achieved",I26)))</formula>
    </cfRule>
    <cfRule type="containsText" dxfId="3028" priority="3128" operator="containsText" text="Deferred">
      <formula>NOT(ISERROR(SEARCH("Deferred",I26)))</formula>
    </cfRule>
    <cfRule type="containsText" dxfId="3027" priority="3129" operator="containsText" text="Deleted">
      <formula>NOT(ISERROR(SEARCH("Deleted",I26)))</formula>
    </cfRule>
    <cfRule type="containsText" dxfId="3026" priority="3130" operator="containsText" text="In Danger of Falling Behind Target">
      <formula>NOT(ISERROR(SEARCH("In Danger of Falling Behind Target",I26)))</formula>
    </cfRule>
    <cfRule type="containsText" dxfId="3025" priority="3131" operator="containsText" text="Not yet due">
      <formula>NOT(ISERROR(SEARCH("Not yet due",I26)))</formula>
    </cfRule>
    <cfRule type="containsText" dxfId="3024" priority="3132" operator="containsText" text="Update not Provided">
      <formula>NOT(ISERROR(SEARCH("Update not Provided",I26)))</formula>
    </cfRule>
  </conditionalFormatting>
  <conditionalFormatting sqref="I29:I34">
    <cfRule type="containsText" dxfId="3023" priority="3061" operator="containsText" text="On track to be achieved">
      <formula>NOT(ISERROR(SEARCH("On track to be achieved",I29)))</formula>
    </cfRule>
    <cfRule type="containsText" dxfId="3022" priority="3062" operator="containsText" text="Deferred">
      <formula>NOT(ISERROR(SEARCH("Deferred",I29)))</formula>
    </cfRule>
    <cfRule type="containsText" dxfId="3021" priority="3063" operator="containsText" text="Deleted">
      <formula>NOT(ISERROR(SEARCH("Deleted",I29)))</formula>
    </cfRule>
    <cfRule type="containsText" dxfId="3020" priority="3064" operator="containsText" text="In Danger of Falling Behind Target">
      <formula>NOT(ISERROR(SEARCH("In Danger of Falling Behind Target",I29)))</formula>
    </cfRule>
    <cfRule type="containsText" dxfId="3019" priority="3065" operator="containsText" text="Not yet due">
      <formula>NOT(ISERROR(SEARCH("Not yet due",I29)))</formula>
    </cfRule>
    <cfRule type="containsText" dxfId="3018" priority="3066" operator="containsText" text="Update not Provided">
      <formula>NOT(ISERROR(SEARCH("Update not Provided",I29)))</formula>
    </cfRule>
    <cfRule type="containsText" dxfId="3017" priority="3067" operator="containsText" text="Not yet due">
      <formula>NOT(ISERROR(SEARCH("Not yet due",I29)))</formula>
    </cfRule>
    <cfRule type="containsText" dxfId="3016" priority="3068" operator="containsText" text="Completed Behind Schedule">
      <formula>NOT(ISERROR(SEARCH("Completed Behind Schedule",I29)))</formula>
    </cfRule>
    <cfRule type="containsText" dxfId="3015" priority="3069" operator="containsText" text="Off Target">
      <formula>NOT(ISERROR(SEARCH("Off Target",I29)))</formula>
    </cfRule>
    <cfRule type="containsText" dxfId="3014" priority="3070" operator="containsText" text="On Track to be Achieved">
      <formula>NOT(ISERROR(SEARCH("On Track to be Achieved",I29)))</formula>
    </cfRule>
    <cfRule type="containsText" dxfId="3013" priority="3071" operator="containsText" text="Fully Achieved">
      <formula>NOT(ISERROR(SEARCH("Fully Achieved",I29)))</formula>
    </cfRule>
    <cfRule type="containsText" dxfId="3012" priority="3072" operator="containsText" text="Not yet due">
      <formula>NOT(ISERROR(SEARCH("Not yet due",I29)))</formula>
    </cfRule>
    <cfRule type="containsText" dxfId="3011" priority="3073" operator="containsText" text="Not Yet Due">
      <formula>NOT(ISERROR(SEARCH("Not Yet Due",I29)))</formula>
    </cfRule>
    <cfRule type="containsText" dxfId="3010" priority="3074" operator="containsText" text="Deferred">
      <formula>NOT(ISERROR(SEARCH("Deferred",I29)))</formula>
    </cfRule>
    <cfRule type="containsText" dxfId="3009" priority="3075" operator="containsText" text="Deleted">
      <formula>NOT(ISERROR(SEARCH("Deleted",I29)))</formula>
    </cfRule>
    <cfRule type="containsText" dxfId="3008" priority="3076" operator="containsText" text="In Danger of Falling Behind Target">
      <formula>NOT(ISERROR(SEARCH("In Danger of Falling Behind Target",I29)))</formula>
    </cfRule>
    <cfRule type="containsText" dxfId="3007" priority="3077" operator="containsText" text="Not yet due">
      <formula>NOT(ISERROR(SEARCH("Not yet due",I29)))</formula>
    </cfRule>
    <cfRule type="containsText" dxfId="3006" priority="3078" operator="containsText" text="Completed Behind Schedule">
      <formula>NOT(ISERROR(SEARCH("Completed Behind Schedule",I29)))</formula>
    </cfRule>
    <cfRule type="containsText" dxfId="3005" priority="3079" operator="containsText" text="Off Target">
      <formula>NOT(ISERROR(SEARCH("Off Target",I29)))</formula>
    </cfRule>
    <cfRule type="containsText" dxfId="3004" priority="3080" operator="containsText" text="In Danger of Falling Behind Target">
      <formula>NOT(ISERROR(SEARCH("In Danger of Falling Behind Target",I29)))</formula>
    </cfRule>
    <cfRule type="containsText" dxfId="3003" priority="3081" operator="containsText" text="On Track to be Achieved">
      <formula>NOT(ISERROR(SEARCH("On Track to be Achieved",I29)))</formula>
    </cfRule>
    <cfRule type="containsText" dxfId="3002" priority="3082" operator="containsText" text="Fully Achieved">
      <formula>NOT(ISERROR(SEARCH("Fully Achieved",I29)))</formula>
    </cfRule>
    <cfRule type="containsText" dxfId="3001" priority="3083" operator="containsText" text="Update not Provided">
      <formula>NOT(ISERROR(SEARCH("Update not Provided",I29)))</formula>
    </cfRule>
    <cfRule type="containsText" dxfId="3000" priority="3084" operator="containsText" text="Not yet due">
      <formula>NOT(ISERROR(SEARCH("Not yet due",I29)))</formula>
    </cfRule>
    <cfRule type="containsText" dxfId="2999" priority="3085" operator="containsText" text="Completed Behind Schedule">
      <formula>NOT(ISERROR(SEARCH("Completed Behind Schedule",I29)))</formula>
    </cfRule>
    <cfRule type="containsText" dxfId="2998" priority="3086" operator="containsText" text="Off Target">
      <formula>NOT(ISERROR(SEARCH("Off Target",I29)))</formula>
    </cfRule>
    <cfRule type="containsText" dxfId="2997" priority="3087" operator="containsText" text="In Danger of Falling Behind Target">
      <formula>NOT(ISERROR(SEARCH("In Danger of Falling Behind Target",I29)))</formula>
    </cfRule>
    <cfRule type="containsText" dxfId="2996" priority="3088" operator="containsText" text="On Track to be Achieved">
      <formula>NOT(ISERROR(SEARCH("On Track to be Achieved",I29)))</formula>
    </cfRule>
    <cfRule type="containsText" dxfId="2995" priority="3089" operator="containsText" text="Fully Achieved">
      <formula>NOT(ISERROR(SEARCH("Fully Achieved",I29)))</formula>
    </cfRule>
    <cfRule type="containsText" dxfId="2994" priority="3090" operator="containsText" text="Fully Achieved">
      <formula>NOT(ISERROR(SEARCH("Fully Achieved",I29)))</formula>
    </cfRule>
    <cfRule type="containsText" dxfId="2993" priority="3091" operator="containsText" text="Fully Achieved">
      <formula>NOT(ISERROR(SEARCH("Fully Achieved",I29)))</formula>
    </cfRule>
    <cfRule type="containsText" dxfId="2992" priority="3092" operator="containsText" text="Deferred">
      <formula>NOT(ISERROR(SEARCH("Deferred",I29)))</formula>
    </cfRule>
    <cfRule type="containsText" dxfId="2991" priority="3093" operator="containsText" text="Deleted">
      <formula>NOT(ISERROR(SEARCH("Deleted",I29)))</formula>
    </cfRule>
    <cfRule type="containsText" dxfId="2990" priority="3094" operator="containsText" text="In Danger of Falling Behind Target">
      <formula>NOT(ISERROR(SEARCH("In Danger of Falling Behind Target",I29)))</formula>
    </cfRule>
    <cfRule type="containsText" dxfId="2989" priority="3095" operator="containsText" text="Not yet due">
      <formula>NOT(ISERROR(SEARCH("Not yet due",I29)))</formula>
    </cfRule>
    <cfRule type="containsText" dxfId="2988" priority="3096" operator="containsText" text="Update not Provided">
      <formula>NOT(ISERROR(SEARCH("Update not Provided",I29)))</formula>
    </cfRule>
  </conditionalFormatting>
  <conditionalFormatting sqref="I35:I39">
    <cfRule type="containsText" dxfId="2987" priority="3025" operator="containsText" text="On track to be achieved">
      <formula>NOT(ISERROR(SEARCH("On track to be achieved",I35)))</formula>
    </cfRule>
    <cfRule type="containsText" dxfId="2986" priority="3026" operator="containsText" text="Deferred">
      <formula>NOT(ISERROR(SEARCH("Deferred",I35)))</formula>
    </cfRule>
    <cfRule type="containsText" dxfId="2985" priority="3027" operator="containsText" text="Deleted">
      <formula>NOT(ISERROR(SEARCH("Deleted",I35)))</formula>
    </cfRule>
    <cfRule type="containsText" dxfId="2984" priority="3028" operator="containsText" text="In Danger of Falling Behind Target">
      <formula>NOT(ISERROR(SEARCH("In Danger of Falling Behind Target",I35)))</formula>
    </cfRule>
    <cfRule type="containsText" dxfId="2983" priority="3029" operator="containsText" text="Not yet due">
      <formula>NOT(ISERROR(SEARCH("Not yet due",I35)))</formula>
    </cfRule>
    <cfRule type="containsText" dxfId="2982" priority="3030" operator="containsText" text="Update not Provided">
      <formula>NOT(ISERROR(SEARCH("Update not Provided",I35)))</formula>
    </cfRule>
    <cfRule type="containsText" dxfId="2981" priority="3031" operator="containsText" text="Not yet due">
      <formula>NOT(ISERROR(SEARCH("Not yet due",I35)))</formula>
    </cfRule>
    <cfRule type="containsText" dxfId="2980" priority="3032" operator="containsText" text="Completed Behind Schedule">
      <formula>NOT(ISERROR(SEARCH("Completed Behind Schedule",I35)))</formula>
    </cfRule>
    <cfRule type="containsText" dxfId="2979" priority="3033" operator="containsText" text="Off Target">
      <formula>NOT(ISERROR(SEARCH("Off Target",I35)))</formula>
    </cfRule>
    <cfRule type="containsText" dxfId="2978" priority="3034" operator="containsText" text="On Track to be Achieved">
      <formula>NOT(ISERROR(SEARCH("On Track to be Achieved",I35)))</formula>
    </cfRule>
    <cfRule type="containsText" dxfId="2977" priority="3035" operator="containsText" text="Fully Achieved">
      <formula>NOT(ISERROR(SEARCH("Fully Achieved",I35)))</formula>
    </cfRule>
    <cfRule type="containsText" dxfId="2976" priority="3036" operator="containsText" text="Not yet due">
      <formula>NOT(ISERROR(SEARCH("Not yet due",I35)))</formula>
    </cfRule>
    <cfRule type="containsText" dxfId="2975" priority="3037" operator="containsText" text="Not Yet Due">
      <formula>NOT(ISERROR(SEARCH("Not Yet Due",I35)))</formula>
    </cfRule>
    <cfRule type="containsText" dxfId="2974" priority="3038" operator="containsText" text="Deferred">
      <formula>NOT(ISERROR(SEARCH("Deferred",I35)))</formula>
    </cfRule>
    <cfRule type="containsText" dxfId="2973" priority="3039" operator="containsText" text="Deleted">
      <formula>NOT(ISERROR(SEARCH("Deleted",I35)))</formula>
    </cfRule>
    <cfRule type="containsText" dxfId="2972" priority="3040" operator="containsText" text="In Danger of Falling Behind Target">
      <formula>NOT(ISERROR(SEARCH("In Danger of Falling Behind Target",I35)))</formula>
    </cfRule>
    <cfRule type="containsText" dxfId="2971" priority="3041" operator="containsText" text="Not yet due">
      <formula>NOT(ISERROR(SEARCH("Not yet due",I35)))</formula>
    </cfRule>
    <cfRule type="containsText" dxfId="2970" priority="3042" operator="containsText" text="Completed Behind Schedule">
      <formula>NOT(ISERROR(SEARCH("Completed Behind Schedule",I35)))</formula>
    </cfRule>
    <cfRule type="containsText" dxfId="2969" priority="3043" operator="containsText" text="Off Target">
      <formula>NOT(ISERROR(SEARCH("Off Target",I35)))</formula>
    </cfRule>
    <cfRule type="containsText" dxfId="2968" priority="3044" operator="containsText" text="In Danger of Falling Behind Target">
      <formula>NOT(ISERROR(SEARCH("In Danger of Falling Behind Target",I35)))</formula>
    </cfRule>
    <cfRule type="containsText" dxfId="2967" priority="3045" operator="containsText" text="On Track to be Achieved">
      <formula>NOT(ISERROR(SEARCH("On Track to be Achieved",I35)))</formula>
    </cfRule>
    <cfRule type="containsText" dxfId="2966" priority="3046" operator="containsText" text="Fully Achieved">
      <formula>NOT(ISERROR(SEARCH("Fully Achieved",I35)))</formula>
    </cfRule>
    <cfRule type="containsText" dxfId="2965" priority="3047" operator="containsText" text="Update not Provided">
      <formula>NOT(ISERROR(SEARCH("Update not Provided",I35)))</formula>
    </cfRule>
    <cfRule type="containsText" dxfId="2964" priority="3048" operator="containsText" text="Not yet due">
      <formula>NOT(ISERROR(SEARCH("Not yet due",I35)))</formula>
    </cfRule>
    <cfRule type="containsText" dxfId="2963" priority="3049" operator="containsText" text="Completed Behind Schedule">
      <formula>NOT(ISERROR(SEARCH("Completed Behind Schedule",I35)))</formula>
    </cfRule>
    <cfRule type="containsText" dxfId="2962" priority="3050" operator="containsText" text="Off Target">
      <formula>NOT(ISERROR(SEARCH("Off Target",I35)))</formula>
    </cfRule>
    <cfRule type="containsText" dxfId="2961" priority="3051" operator="containsText" text="In Danger of Falling Behind Target">
      <formula>NOT(ISERROR(SEARCH("In Danger of Falling Behind Target",I35)))</formula>
    </cfRule>
    <cfRule type="containsText" dxfId="2960" priority="3052" operator="containsText" text="On Track to be Achieved">
      <formula>NOT(ISERROR(SEARCH("On Track to be Achieved",I35)))</formula>
    </cfRule>
    <cfRule type="containsText" dxfId="2959" priority="3053" operator="containsText" text="Fully Achieved">
      <formula>NOT(ISERROR(SEARCH("Fully Achieved",I35)))</formula>
    </cfRule>
    <cfRule type="containsText" dxfId="2958" priority="3054" operator="containsText" text="Fully Achieved">
      <formula>NOT(ISERROR(SEARCH("Fully Achieved",I35)))</formula>
    </cfRule>
    <cfRule type="containsText" dxfId="2957" priority="3055" operator="containsText" text="Fully Achieved">
      <formula>NOT(ISERROR(SEARCH("Fully Achieved",I35)))</formula>
    </cfRule>
    <cfRule type="containsText" dxfId="2956" priority="3056" operator="containsText" text="Deferred">
      <formula>NOT(ISERROR(SEARCH("Deferred",I35)))</formula>
    </cfRule>
    <cfRule type="containsText" dxfId="2955" priority="3057" operator="containsText" text="Deleted">
      <formula>NOT(ISERROR(SEARCH("Deleted",I35)))</formula>
    </cfRule>
    <cfRule type="containsText" dxfId="2954" priority="3058" operator="containsText" text="In Danger of Falling Behind Target">
      <formula>NOT(ISERROR(SEARCH("In Danger of Falling Behind Target",I35)))</formula>
    </cfRule>
    <cfRule type="containsText" dxfId="2953" priority="3059" operator="containsText" text="Not yet due">
      <formula>NOT(ISERROR(SEARCH("Not yet due",I35)))</formula>
    </cfRule>
    <cfRule type="containsText" dxfId="2952" priority="3060" operator="containsText" text="Update not Provided">
      <formula>NOT(ISERROR(SEARCH("Update not Provided",I35)))</formula>
    </cfRule>
  </conditionalFormatting>
  <conditionalFormatting sqref="I40">
    <cfRule type="containsText" dxfId="2951" priority="2989" operator="containsText" text="On track to be achieved">
      <formula>NOT(ISERROR(SEARCH("On track to be achieved",I40)))</formula>
    </cfRule>
    <cfRule type="containsText" dxfId="2950" priority="2990" operator="containsText" text="Deferred">
      <formula>NOT(ISERROR(SEARCH("Deferred",I40)))</formula>
    </cfRule>
    <cfRule type="containsText" dxfId="2949" priority="2991" operator="containsText" text="Deleted">
      <formula>NOT(ISERROR(SEARCH("Deleted",I40)))</formula>
    </cfRule>
    <cfRule type="containsText" dxfId="2948" priority="2992" operator="containsText" text="In Danger of Falling Behind Target">
      <formula>NOT(ISERROR(SEARCH("In Danger of Falling Behind Target",I40)))</formula>
    </cfRule>
    <cfRule type="containsText" dxfId="2947" priority="2993" operator="containsText" text="Not yet due">
      <formula>NOT(ISERROR(SEARCH("Not yet due",I40)))</formula>
    </cfRule>
    <cfRule type="containsText" dxfId="2946" priority="2994" operator="containsText" text="Update not Provided">
      <formula>NOT(ISERROR(SEARCH("Update not Provided",I40)))</formula>
    </cfRule>
    <cfRule type="containsText" dxfId="2945" priority="2995" operator="containsText" text="Not yet due">
      <formula>NOT(ISERROR(SEARCH("Not yet due",I40)))</formula>
    </cfRule>
    <cfRule type="containsText" dxfId="2944" priority="2996" operator="containsText" text="Completed Behind Schedule">
      <formula>NOT(ISERROR(SEARCH("Completed Behind Schedule",I40)))</formula>
    </cfRule>
    <cfRule type="containsText" dxfId="2943" priority="2997" operator="containsText" text="Off Target">
      <formula>NOT(ISERROR(SEARCH("Off Target",I40)))</formula>
    </cfRule>
    <cfRule type="containsText" dxfId="2942" priority="2998" operator="containsText" text="On Track to be Achieved">
      <formula>NOT(ISERROR(SEARCH("On Track to be Achieved",I40)))</formula>
    </cfRule>
    <cfRule type="containsText" dxfId="2941" priority="2999" operator="containsText" text="Fully Achieved">
      <formula>NOT(ISERROR(SEARCH("Fully Achieved",I40)))</formula>
    </cfRule>
    <cfRule type="containsText" dxfId="2940" priority="3000" operator="containsText" text="Not yet due">
      <formula>NOT(ISERROR(SEARCH("Not yet due",I40)))</formula>
    </cfRule>
    <cfRule type="containsText" dxfId="2939" priority="3001" operator="containsText" text="Not Yet Due">
      <formula>NOT(ISERROR(SEARCH("Not Yet Due",I40)))</formula>
    </cfRule>
    <cfRule type="containsText" dxfId="2938" priority="3002" operator="containsText" text="Deferred">
      <formula>NOT(ISERROR(SEARCH("Deferred",I40)))</formula>
    </cfRule>
    <cfRule type="containsText" dxfId="2937" priority="3003" operator="containsText" text="Deleted">
      <formula>NOT(ISERROR(SEARCH("Deleted",I40)))</formula>
    </cfRule>
    <cfRule type="containsText" dxfId="2936" priority="3004" operator="containsText" text="In Danger of Falling Behind Target">
      <formula>NOT(ISERROR(SEARCH("In Danger of Falling Behind Target",I40)))</formula>
    </cfRule>
    <cfRule type="containsText" dxfId="2935" priority="3005" operator="containsText" text="Not yet due">
      <formula>NOT(ISERROR(SEARCH("Not yet due",I40)))</formula>
    </cfRule>
    <cfRule type="containsText" dxfId="2934" priority="3006" operator="containsText" text="Completed Behind Schedule">
      <formula>NOT(ISERROR(SEARCH("Completed Behind Schedule",I40)))</formula>
    </cfRule>
    <cfRule type="containsText" dxfId="2933" priority="3007" operator="containsText" text="Off Target">
      <formula>NOT(ISERROR(SEARCH("Off Target",I40)))</formula>
    </cfRule>
    <cfRule type="containsText" dxfId="2932" priority="3008" operator="containsText" text="In Danger of Falling Behind Target">
      <formula>NOT(ISERROR(SEARCH("In Danger of Falling Behind Target",I40)))</formula>
    </cfRule>
    <cfRule type="containsText" dxfId="2931" priority="3009" operator="containsText" text="On Track to be Achieved">
      <formula>NOT(ISERROR(SEARCH("On Track to be Achieved",I40)))</formula>
    </cfRule>
    <cfRule type="containsText" dxfId="2930" priority="3010" operator="containsText" text="Fully Achieved">
      <formula>NOT(ISERROR(SEARCH("Fully Achieved",I40)))</formula>
    </cfRule>
    <cfRule type="containsText" dxfId="2929" priority="3011" operator="containsText" text="Update not Provided">
      <formula>NOT(ISERROR(SEARCH("Update not Provided",I40)))</formula>
    </cfRule>
    <cfRule type="containsText" dxfId="2928" priority="3012" operator="containsText" text="Not yet due">
      <formula>NOT(ISERROR(SEARCH("Not yet due",I40)))</formula>
    </cfRule>
    <cfRule type="containsText" dxfId="2927" priority="3013" operator="containsText" text="Completed Behind Schedule">
      <formula>NOT(ISERROR(SEARCH("Completed Behind Schedule",I40)))</formula>
    </cfRule>
    <cfRule type="containsText" dxfId="2926" priority="3014" operator="containsText" text="Off Target">
      <formula>NOT(ISERROR(SEARCH("Off Target",I40)))</formula>
    </cfRule>
    <cfRule type="containsText" dxfId="2925" priority="3015" operator="containsText" text="In Danger of Falling Behind Target">
      <formula>NOT(ISERROR(SEARCH("In Danger of Falling Behind Target",I40)))</formula>
    </cfRule>
    <cfRule type="containsText" dxfId="2924" priority="3016" operator="containsText" text="On Track to be Achieved">
      <formula>NOT(ISERROR(SEARCH("On Track to be Achieved",I40)))</formula>
    </cfRule>
    <cfRule type="containsText" dxfId="2923" priority="3017" operator="containsText" text="Fully Achieved">
      <formula>NOT(ISERROR(SEARCH("Fully Achieved",I40)))</formula>
    </cfRule>
    <cfRule type="containsText" dxfId="2922" priority="3018" operator="containsText" text="Fully Achieved">
      <formula>NOT(ISERROR(SEARCH("Fully Achieved",I40)))</formula>
    </cfRule>
    <cfRule type="containsText" dxfId="2921" priority="3019" operator="containsText" text="Fully Achieved">
      <formula>NOT(ISERROR(SEARCH("Fully Achieved",I40)))</formula>
    </cfRule>
    <cfRule type="containsText" dxfId="2920" priority="3020" operator="containsText" text="Deferred">
      <formula>NOT(ISERROR(SEARCH("Deferred",I40)))</formula>
    </cfRule>
    <cfRule type="containsText" dxfId="2919" priority="3021" operator="containsText" text="Deleted">
      <formula>NOT(ISERROR(SEARCH("Deleted",I40)))</formula>
    </cfRule>
    <cfRule type="containsText" dxfId="2918" priority="3022" operator="containsText" text="In Danger of Falling Behind Target">
      <formula>NOT(ISERROR(SEARCH("In Danger of Falling Behind Target",I40)))</formula>
    </cfRule>
    <cfRule type="containsText" dxfId="2917" priority="3023" operator="containsText" text="Not yet due">
      <formula>NOT(ISERROR(SEARCH("Not yet due",I40)))</formula>
    </cfRule>
    <cfRule type="containsText" dxfId="2916" priority="3024" operator="containsText" text="Update not Provided">
      <formula>NOT(ISERROR(SEARCH("Update not Provided",I40)))</formula>
    </cfRule>
  </conditionalFormatting>
  <conditionalFormatting sqref="I42:I43">
    <cfRule type="containsText" dxfId="2915" priority="2953" operator="containsText" text="On track to be achieved">
      <formula>NOT(ISERROR(SEARCH("On track to be achieved",I42)))</formula>
    </cfRule>
    <cfRule type="containsText" dxfId="2914" priority="2954" operator="containsText" text="Deferred">
      <formula>NOT(ISERROR(SEARCH("Deferred",I42)))</formula>
    </cfRule>
    <cfRule type="containsText" dxfId="2913" priority="2955" operator="containsText" text="Deleted">
      <formula>NOT(ISERROR(SEARCH("Deleted",I42)))</formula>
    </cfRule>
    <cfRule type="containsText" dxfId="2912" priority="2956" operator="containsText" text="In Danger of Falling Behind Target">
      <formula>NOT(ISERROR(SEARCH("In Danger of Falling Behind Target",I42)))</formula>
    </cfRule>
    <cfRule type="containsText" dxfId="2911" priority="2957" operator="containsText" text="Not yet due">
      <formula>NOT(ISERROR(SEARCH("Not yet due",I42)))</formula>
    </cfRule>
    <cfRule type="containsText" dxfId="2910" priority="2958" operator="containsText" text="Update not Provided">
      <formula>NOT(ISERROR(SEARCH("Update not Provided",I42)))</formula>
    </cfRule>
    <cfRule type="containsText" dxfId="2909" priority="2959" operator="containsText" text="Not yet due">
      <formula>NOT(ISERROR(SEARCH("Not yet due",I42)))</formula>
    </cfRule>
    <cfRule type="containsText" dxfId="2908" priority="2960" operator="containsText" text="Completed Behind Schedule">
      <formula>NOT(ISERROR(SEARCH("Completed Behind Schedule",I42)))</formula>
    </cfRule>
    <cfRule type="containsText" dxfId="2907" priority="2961" operator="containsText" text="Off Target">
      <formula>NOT(ISERROR(SEARCH("Off Target",I42)))</formula>
    </cfRule>
    <cfRule type="containsText" dxfId="2906" priority="2962" operator="containsText" text="On Track to be Achieved">
      <formula>NOT(ISERROR(SEARCH("On Track to be Achieved",I42)))</formula>
    </cfRule>
    <cfRule type="containsText" dxfId="2905" priority="2963" operator="containsText" text="Fully Achieved">
      <formula>NOT(ISERROR(SEARCH("Fully Achieved",I42)))</formula>
    </cfRule>
    <cfRule type="containsText" dxfId="2904" priority="2964" operator="containsText" text="Not yet due">
      <formula>NOT(ISERROR(SEARCH("Not yet due",I42)))</formula>
    </cfRule>
    <cfRule type="containsText" dxfId="2903" priority="2965" operator="containsText" text="Not Yet Due">
      <formula>NOT(ISERROR(SEARCH("Not Yet Due",I42)))</formula>
    </cfRule>
    <cfRule type="containsText" dxfId="2902" priority="2966" operator="containsText" text="Deferred">
      <formula>NOT(ISERROR(SEARCH("Deferred",I42)))</formula>
    </cfRule>
    <cfRule type="containsText" dxfId="2901" priority="2967" operator="containsText" text="Deleted">
      <formula>NOT(ISERROR(SEARCH("Deleted",I42)))</formula>
    </cfRule>
    <cfRule type="containsText" dxfId="2900" priority="2968" operator="containsText" text="In Danger of Falling Behind Target">
      <formula>NOT(ISERROR(SEARCH("In Danger of Falling Behind Target",I42)))</formula>
    </cfRule>
    <cfRule type="containsText" dxfId="2899" priority="2969" operator="containsText" text="Not yet due">
      <formula>NOT(ISERROR(SEARCH("Not yet due",I42)))</formula>
    </cfRule>
    <cfRule type="containsText" dxfId="2898" priority="2970" operator="containsText" text="Completed Behind Schedule">
      <formula>NOT(ISERROR(SEARCH("Completed Behind Schedule",I42)))</formula>
    </cfRule>
    <cfRule type="containsText" dxfId="2897" priority="2971" operator="containsText" text="Off Target">
      <formula>NOT(ISERROR(SEARCH("Off Target",I42)))</formula>
    </cfRule>
    <cfRule type="containsText" dxfId="2896" priority="2972" operator="containsText" text="In Danger of Falling Behind Target">
      <formula>NOT(ISERROR(SEARCH("In Danger of Falling Behind Target",I42)))</formula>
    </cfRule>
    <cfRule type="containsText" dxfId="2895" priority="2973" operator="containsText" text="On Track to be Achieved">
      <formula>NOT(ISERROR(SEARCH("On Track to be Achieved",I42)))</formula>
    </cfRule>
    <cfRule type="containsText" dxfId="2894" priority="2974" operator="containsText" text="Fully Achieved">
      <formula>NOT(ISERROR(SEARCH("Fully Achieved",I42)))</formula>
    </cfRule>
    <cfRule type="containsText" dxfId="2893" priority="2975" operator="containsText" text="Update not Provided">
      <formula>NOT(ISERROR(SEARCH("Update not Provided",I42)))</formula>
    </cfRule>
    <cfRule type="containsText" dxfId="2892" priority="2976" operator="containsText" text="Not yet due">
      <formula>NOT(ISERROR(SEARCH("Not yet due",I42)))</formula>
    </cfRule>
    <cfRule type="containsText" dxfId="2891" priority="2977" operator="containsText" text="Completed Behind Schedule">
      <formula>NOT(ISERROR(SEARCH("Completed Behind Schedule",I42)))</formula>
    </cfRule>
    <cfRule type="containsText" dxfId="2890" priority="2978" operator="containsText" text="Off Target">
      <formula>NOT(ISERROR(SEARCH("Off Target",I42)))</formula>
    </cfRule>
    <cfRule type="containsText" dxfId="2889" priority="2979" operator="containsText" text="In Danger of Falling Behind Target">
      <formula>NOT(ISERROR(SEARCH("In Danger of Falling Behind Target",I42)))</formula>
    </cfRule>
    <cfRule type="containsText" dxfId="2888" priority="2980" operator="containsText" text="On Track to be Achieved">
      <formula>NOT(ISERROR(SEARCH("On Track to be Achieved",I42)))</formula>
    </cfRule>
    <cfRule type="containsText" dxfId="2887" priority="2981" operator="containsText" text="Fully Achieved">
      <formula>NOT(ISERROR(SEARCH("Fully Achieved",I42)))</formula>
    </cfRule>
    <cfRule type="containsText" dxfId="2886" priority="2982" operator="containsText" text="Fully Achieved">
      <formula>NOT(ISERROR(SEARCH("Fully Achieved",I42)))</formula>
    </cfRule>
    <cfRule type="containsText" dxfId="2885" priority="2983" operator="containsText" text="Fully Achieved">
      <formula>NOT(ISERROR(SEARCH("Fully Achieved",I42)))</formula>
    </cfRule>
    <cfRule type="containsText" dxfId="2884" priority="2984" operator="containsText" text="Deferred">
      <formula>NOT(ISERROR(SEARCH("Deferred",I42)))</formula>
    </cfRule>
    <cfRule type="containsText" dxfId="2883" priority="2985" operator="containsText" text="Deleted">
      <formula>NOT(ISERROR(SEARCH("Deleted",I42)))</formula>
    </cfRule>
    <cfRule type="containsText" dxfId="2882" priority="2986" operator="containsText" text="In Danger of Falling Behind Target">
      <formula>NOT(ISERROR(SEARCH("In Danger of Falling Behind Target",I42)))</formula>
    </cfRule>
    <cfRule type="containsText" dxfId="2881" priority="2987" operator="containsText" text="Not yet due">
      <formula>NOT(ISERROR(SEARCH("Not yet due",I42)))</formula>
    </cfRule>
    <cfRule type="containsText" dxfId="2880" priority="2988" operator="containsText" text="Update not Provided">
      <formula>NOT(ISERROR(SEARCH("Update not Provided",I42)))</formula>
    </cfRule>
  </conditionalFormatting>
  <conditionalFormatting sqref="I44:I49">
    <cfRule type="containsText" dxfId="2879" priority="2917" operator="containsText" text="On track to be achieved">
      <formula>NOT(ISERROR(SEARCH("On track to be achieved",I44)))</formula>
    </cfRule>
    <cfRule type="containsText" dxfId="2878" priority="2918" operator="containsText" text="Deferred">
      <formula>NOT(ISERROR(SEARCH("Deferred",I44)))</formula>
    </cfRule>
    <cfRule type="containsText" dxfId="2877" priority="2919" operator="containsText" text="Deleted">
      <formula>NOT(ISERROR(SEARCH("Deleted",I44)))</formula>
    </cfRule>
    <cfRule type="containsText" dxfId="2876" priority="2920" operator="containsText" text="In Danger of Falling Behind Target">
      <formula>NOT(ISERROR(SEARCH("In Danger of Falling Behind Target",I44)))</formula>
    </cfRule>
    <cfRule type="containsText" dxfId="2875" priority="2921" operator="containsText" text="Not yet due">
      <formula>NOT(ISERROR(SEARCH("Not yet due",I44)))</formula>
    </cfRule>
    <cfRule type="containsText" dxfId="2874" priority="2922" operator="containsText" text="Update not Provided">
      <formula>NOT(ISERROR(SEARCH("Update not Provided",I44)))</formula>
    </cfRule>
    <cfRule type="containsText" dxfId="2873" priority="2923" operator="containsText" text="Not yet due">
      <formula>NOT(ISERROR(SEARCH("Not yet due",I44)))</formula>
    </cfRule>
    <cfRule type="containsText" dxfId="2872" priority="2924" operator="containsText" text="Completed Behind Schedule">
      <formula>NOT(ISERROR(SEARCH("Completed Behind Schedule",I44)))</formula>
    </cfRule>
    <cfRule type="containsText" dxfId="2871" priority="2925" operator="containsText" text="Off Target">
      <formula>NOT(ISERROR(SEARCH("Off Target",I44)))</formula>
    </cfRule>
    <cfRule type="containsText" dxfId="2870" priority="2926" operator="containsText" text="On Track to be Achieved">
      <formula>NOT(ISERROR(SEARCH("On Track to be Achieved",I44)))</formula>
    </cfRule>
    <cfRule type="containsText" dxfId="2869" priority="2927" operator="containsText" text="Fully Achieved">
      <formula>NOT(ISERROR(SEARCH("Fully Achieved",I44)))</formula>
    </cfRule>
    <cfRule type="containsText" dxfId="2868" priority="2928" operator="containsText" text="Not yet due">
      <formula>NOT(ISERROR(SEARCH("Not yet due",I44)))</formula>
    </cfRule>
    <cfRule type="containsText" dxfId="2867" priority="2929" operator="containsText" text="Not Yet Due">
      <formula>NOT(ISERROR(SEARCH("Not Yet Due",I44)))</formula>
    </cfRule>
    <cfRule type="containsText" dxfId="2866" priority="2930" operator="containsText" text="Deferred">
      <formula>NOT(ISERROR(SEARCH("Deferred",I44)))</formula>
    </cfRule>
    <cfRule type="containsText" dxfId="2865" priority="2931" operator="containsText" text="Deleted">
      <formula>NOT(ISERROR(SEARCH("Deleted",I44)))</formula>
    </cfRule>
    <cfRule type="containsText" dxfId="2864" priority="2932" operator="containsText" text="In Danger of Falling Behind Target">
      <formula>NOT(ISERROR(SEARCH("In Danger of Falling Behind Target",I44)))</formula>
    </cfRule>
    <cfRule type="containsText" dxfId="2863" priority="2933" operator="containsText" text="Not yet due">
      <formula>NOT(ISERROR(SEARCH("Not yet due",I44)))</formula>
    </cfRule>
    <cfRule type="containsText" dxfId="2862" priority="2934" operator="containsText" text="Completed Behind Schedule">
      <formula>NOT(ISERROR(SEARCH("Completed Behind Schedule",I44)))</formula>
    </cfRule>
    <cfRule type="containsText" dxfId="2861" priority="2935" operator="containsText" text="Off Target">
      <formula>NOT(ISERROR(SEARCH("Off Target",I44)))</formula>
    </cfRule>
    <cfRule type="containsText" dxfId="2860" priority="2936" operator="containsText" text="In Danger of Falling Behind Target">
      <formula>NOT(ISERROR(SEARCH("In Danger of Falling Behind Target",I44)))</formula>
    </cfRule>
    <cfRule type="containsText" dxfId="2859" priority="2937" operator="containsText" text="On Track to be Achieved">
      <formula>NOT(ISERROR(SEARCH("On Track to be Achieved",I44)))</formula>
    </cfRule>
    <cfRule type="containsText" dxfId="2858" priority="2938" operator="containsText" text="Fully Achieved">
      <formula>NOT(ISERROR(SEARCH("Fully Achieved",I44)))</formula>
    </cfRule>
    <cfRule type="containsText" dxfId="2857" priority="2939" operator="containsText" text="Update not Provided">
      <formula>NOT(ISERROR(SEARCH("Update not Provided",I44)))</formula>
    </cfRule>
    <cfRule type="containsText" dxfId="2856" priority="2940" operator="containsText" text="Not yet due">
      <formula>NOT(ISERROR(SEARCH("Not yet due",I44)))</formula>
    </cfRule>
    <cfRule type="containsText" dxfId="2855" priority="2941" operator="containsText" text="Completed Behind Schedule">
      <formula>NOT(ISERROR(SEARCH("Completed Behind Schedule",I44)))</formula>
    </cfRule>
    <cfRule type="containsText" dxfId="2854" priority="2942" operator="containsText" text="Off Target">
      <formula>NOT(ISERROR(SEARCH("Off Target",I44)))</formula>
    </cfRule>
    <cfRule type="containsText" dxfId="2853" priority="2943" operator="containsText" text="In Danger of Falling Behind Target">
      <formula>NOT(ISERROR(SEARCH("In Danger of Falling Behind Target",I44)))</formula>
    </cfRule>
    <cfRule type="containsText" dxfId="2852" priority="2944" operator="containsText" text="On Track to be Achieved">
      <formula>NOT(ISERROR(SEARCH("On Track to be Achieved",I44)))</formula>
    </cfRule>
    <cfRule type="containsText" dxfId="2851" priority="2945" operator="containsText" text="Fully Achieved">
      <formula>NOT(ISERROR(SEARCH("Fully Achieved",I44)))</formula>
    </cfRule>
    <cfRule type="containsText" dxfId="2850" priority="2946" operator="containsText" text="Fully Achieved">
      <formula>NOT(ISERROR(SEARCH("Fully Achieved",I44)))</formula>
    </cfRule>
    <cfRule type="containsText" dxfId="2849" priority="2947" operator="containsText" text="Fully Achieved">
      <formula>NOT(ISERROR(SEARCH("Fully Achieved",I44)))</formula>
    </cfRule>
    <cfRule type="containsText" dxfId="2848" priority="2948" operator="containsText" text="Deferred">
      <formula>NOT(ISERROR(SEARCH("Deferred",I44)))</formula>
    </cfRule>
    <cfRule type="containsText" dxfId="2847" priority="2949" operator="containsText" text="Deleted">
      <formula>NOT(ISERROR(SEARCH("Deleted",I44)))</formula>
    </cfRule>
    <cfRule type="containsText" dxfId="2846" priority="2950" operator="containsText" text="In Danger of Falling Behind Target">
      <formula>NOT(ISERROR(SEARCH("In Danger of Falling Behind Target",I44)))</formula>
    </cfRule>
    <cfRule type="containsText" dxfId="2845" priority="2951" operator="containsText" text="Not yet due">
      <formula>NOT(ISERROR(SEARCH("Not yet due",I44)))</formula>
    </cfRule>
    <cfRule type="containsText" dxfId="2844" priority="2952" operator="containsText" text="Update not Provided">
      <formula>NOT(ISERROR(SEARCH("Update not Provided",I44)))</formula>
    </cfRule>
  </conditionalFormatting>
  <conditionalFormatting sqref="I50:I56">
    <cfRule type="containsText" dxfId="2843" priority="2881" operator="containsText" text="On track to be achieved">
      <formula>NOT(ISERROR(SEARCH("On track to be achieved",I50)))</formula>
    </cfRule>
    <cfRule type="containsText" dxfId="2842" priority="2882" operator="containsText" text="Deferred">
      <formula>NOT(ISERROR(SEARCH("Deferred",I50)))</formula>
    </cfRule>
    <cfRule type="containsText" dxfId="2841" priority="2883" operator="containsText" text="Deleted">
      <formula>NOT(ISERROR(SEARCH("Deleted",I50)))</formula>
    </cfRule>
    <cfRule type="containsText" dxfId="2840" priority="2884" operator="containsText" text="In Danger of Falling Behind Target">
      <formula>NOT(ISERROR(SEARCH("In Danger of Falling Behind Target",I50)))</formula>
    </cfRule>
    <cfRule type="containsText" dxfId="2839" priority="2885" operator="containsText" text="Not yet due">
      <formula>NOT(ISERROR(SEARCH("Not yet due",I50)))</formula>
    </cfRule>
    <cfRule type="containsText" dxfId="2838" priority="2886" operator="containsText" text="Update not Provided">
      <formula>NOT(ISERROR(SEARCH("Update not Provided",I50)))</formula>
    </cfRule>
    <cfRule type="containsText" dxfId="2837" priority="2887" operator="containsText" text="Not yet due">
      <formula>NOT(ISERROR(SEARCH("Not yet due",I50)))</formula>
    </cfRule>
    <cfRule type="containsText" dxfId="2836" priority="2888" operator="containsText" text="Completed Behind Schedule">
      <formula>NOT(ISERROR(SEARCH("Completed Behind Schedule",I50)))</formula>
    </cfRule>
    <cfRule type="containsText" dxfId="2835" priority="2889" operator="containsText" text="Off Target">
      <formula>NOT(ISERROR(SEARCH("Off Target",I50)))</formula>
    </cfRule>
    <cfRule type="containsText" dxfId="2834" priority="2890" operator="containsText" text="On Track to be Achieved">
      <formula>NOT(ISERROR(SEARCH("On Track to be Achieved",I50)))</formula>
    </cfRule>
    <cfRule type="containsText" dxfId="2833" priority="2891" operator="containsText" text="Fully Achieved">
      <formula>NOT(ISERROR(SEARCH("Fully Achieved",I50)))</formula>
    </cfRule>
    <cfRule type="containsText" dxfId="2832" priority="2892" operator="containsText" text="Not yet due">
      <formula>NOT(ISERROR(SEARCH("Not yet due",I50)))</formula>
    </cfRule>
    <cfRule type="containsText" dxfId="2831" priority="2893" operator="containsText" text="Not Yet Due">
      <formula>NOT(ISERROR(SEARCH("Not Yet Due",I50)))</formula>
    </cfRule>
    <cfRule type="containsText" dxfId="2830" priority="2894" operator="containsText" text="Deferred">
      <formula>NOT(ISERROR(SEARCH("Deferred",I50)))</formula>
    </cfRule>
    <cfRule type="containsText" dxfId="2829" priority="2895" operator="containsText" text="Deleted">
      <formula>NOT(ISERROR(SEARCH("Deleted",I50)))</formula>
    </cfRule>
    <cfRule type="containsText" dxfId="2828" priority="2896" operator="containsText" text="In Danger of Falling Behind Target">
      <formula>NOT(ISERROR(SEARCH("In Danger of Falling Behind Target",I50)))</formula>
    </cfRule>
    <cfRule type="containsText" dxfId="2827" priority="2897" operator="containsText" text="Not yet due">
      <formula>NOT(ISERROR(SEARCH("Not yet due",I50)))</formula>
    </cfRule>
    <cfRule type="containsText" dxfId="2826" priority="2898" operator="containsText" text="Completed Behind Schedule">
      <formula>NOT(ISERROR(SEARCH("Completed Behind Schedule",I50)))</formula>
    </cfRule>
    <cfRule type="containsText" dxfId="2825" priority="2899" operator="containsText" text="Off Target">
      <formula>NOT(ISERROR(SEARCH("Off Target",I50)))</formula>
    </cfRule>
    <cfRule type="containsText" dxfId="2824" priority="2900" operator="containsText" text="In Danger of Falling Behind Target">
      <formula>NOT(ISERROR(SEARCH("In Danger of Falling Behind Target",I50)))</formula>
    </cfRule>
    <cfRule type="containsText" dxfId="2823" priority="2901" operator="containsText" text="On Track to be Achieved">
      <formula>NOT(ISERROR(SEARCH("On Track to be Achieved",I50)))</formula>
    </cfRule>
    <cfRule type="containsText" dxfId="2822" priority="2902" operator="containsText" text="Fully Achieved">
      <formula>NOT(ISERROR(SEARCH("Fully Achieved",I50)))</formula>
    </cfRule>
    <cfRule type="containsText" dxfId="2821" priority="2903" operator="containsText" text="Update not Provided">
      <formula>NOT(ISERROR(SEARCH("Update not Provided",I50)))</formula>
    </cfRule>
    <cfRule type="containsText" dxfId="2820" priority="2904" operator="containsText" text="Not yet due">
      <formula>NOT(ISERROR(SEARCH("Not yet due",I50)))</formula>
    </cfRule>
    <cfRule type="containsText" dxfId="2819" priority="2905" operator="containsText" text="Completed Behind Schedule">
      <formula>NOT(ISERROR(SEARCH("Completed Behind Schedule",I50)))</formula>
    </cfRule>
    <cfRule type="containsText" dxfId="2818" priority="2906" operator="containsText" text="Off Target">
      <formula>NOT(ISERROR(SEARCH("Off Target",I50)))</formula>
    </cfRule>
    <cfRule type="containsText" dxfId="2817" priority="2907" operator="containsText" text="In Danger of Falling Behind Target">
      <formula>NOT(ISERROR(SEARCH("In Danger of Falling Behind Target",I50)))</formula>
    </cfRule>
    <cfRule type="containsText" dxfId="2816" priority="2908" operator="containsText" text="On Track to be Achieved">
      <formula>NOT(ISERROR(SEARCH("On Track to be Achieved",I50)))</formula>
    </cfRule>
    <cfRule type="containsText" dxfId="2815" priority="2909" operator="containsText" text="Fully Achieved">
      <formula>NOT(ISERROR(SEARCH("Fully Achieved",I50)))</formula>
    </cfRule>
    <cfRule type="containsText" dxfId="2814" priority="2910" operator="containsText" text="Fully Achieved">
      <formula>NOT(ISERROR(SEARCH("Fully Achieved",I50)))</formula>
    </cfRule>
    <cfRule type="containsText" dxfId="2813" priority="2911" operator="containsText" text="Fully Achieved">
      <formula>NOT(ISERROR(SEARCH("Fully Achieved",I50)))</formula>
    </cfRule>
    <cfRule type="containsText" dxfId="2812" priority="2912" operator="containsText" text="Deferred">
      <formula>NOT(ISERROR(SEARCH("Deferred",I50)))</formula>
    </cfRule>
    <cfRule type="containsText" dxfId="2811" priority="2913" operator="containsText" text="Deleted">
      <formula>NOT(ISERROR(SEARCH("Deleted",I50)))</formula>
    </cfRule>
    <cfRule type="containsText" dxfId="2810" priority="2914" operator="containsText" text="In Danger of Falling Behind Target">
      <formula>NOT(ISERROR(SEARCH("In Danger of Falling Behind Target",I50)))</formula>
    </cfRule>
    <cfRule type="containsText" dxfId="2809" priority="2915" operator="containsText" text="Not yet due">
      <formula>NOT(ISERROR(SEARCH("Not yet due",I50)))</formula>
    </cfRule>
    <cfRule type="containsText" dxfId="2808" priority="2916" operator="containsText" text="Update not Provided">
      <formula>NOT(ISERROR(SEARCH("Update not Provided",I50)))</formula>
    </cfRule>
  </conditionalFormatting>
  <conditionalFormatting sqref="I57:I62">
    <cfRule type="containsText" dxfId="2807" priority="2845" operator="containsText" text="On track to be achieved">
      <formula>NOT(ISERROR(SEARCH("On track to be achieved",I57)))</formula>
    </cfRule>
    <cfRule type="containsText" dxfId="2806" priority="2846" operator="containsText" text="Deferred">
      <formula>NOT(ISERROR(SEARCH("Deferred",I57)))</formula>
    </cfRule>
    <cfRule type="containsText" dxfId="2805" priority="2847" operator="containsText" text="Deleted">
      <formula>NOT(ISERROR(SEARCH("Deleted",I57)))</formula>
    </cfRule>
    <cfRule type="containsText" dxfId="2804" priority="2848" operator="containsText" text="In Danger of Falling Behind Target">
      <formula>NOT(ISERROR(SEARCH("In Danger of Falling Behind Target",I57)))</formula>
    </cfRule>
    <cfRule type="containsText" dxfId="2803" priority="2849" operator="containsText" text="Not yet due">
      <formula>NOT(ISERROR(SEARCH("Not yet due",I57)))</formula>
    </cfRule>
    <cfRule type="containsText" dxfId="2802" priority="2850" operator="containsText" text="Update not Provided">
      <formula>NOT(ISERROR(SEARCH("Update not Provided",I57)))</formula>
    </cfRule>
    <cfRule type="containsText" dxfId="2801" priority="2851" operator="containsText" text="Not yet due">
      <formula>NOT(ISERROR(SEARCH("Not yet due",I57)))</formula>
    </cfRule>
    <cfRule type="containsText" dxfId="2800" priority="2852" operator="containsText" text="Completed Behind Schedule">
      <formula>NOT(ISERROR(SEARCH("Completed Behind Schedule",I57)))</formula>
    </cfRule>
    <cfRule type="containsText" dxfId="2799" priority="2853" operator="containsText" text="Off Target">
      <formula>NOT(ISERROR(SEARCH("Off Target",I57)))</formula>
    </cfRule>
    <cfRule type="containsText" dxfId="2798" priority="2854" operator="containsText" text="On Track to be Achieved">
      <formula>NOT(ISERROR(SEARCH("On Track to be Achieved",I57)))</formula>
    </cfRule>
    <cfRule type="containsText" dxfId="2797" priority="2855" operator="containsText" text="Fully Achieved">
      <formula>NOT(ISERROR(SEARCH("Fully Achieved",I57)))</formula>
    </cfRule>
    <cfRule type="containsText" dxfId="2796" priority="2856" operator="containsText" text="Not yet due">
      <formula>NOT(ISERROR(SEARCH("Not yet due",I57)))</formula>
    </cfRule>
    <cfRule type="containsText" dxfId="2795" priority="2857" operator="containsText" text="Not Yet Due">
      <formula>NOT(ISERROR(SEARCH("Not Yet Due",I57)))</formula>
    </cfRule>
    <cfRule type="containsText" dxfId="2794" priority="2858" operator="containsText" text="Deferred">
      <formula>NOT(ISERROR(SEARCH("Deferred",I57)))</formula>
    </cfRule>
    <cfRule type="containsText" dxfId="2793" priority="2859" operator="containsText" text="Deleted">
      <formula>NOT(ISERROR(SEARCH("Deleted",I57)))</formula>
    </cfRule>
    <cfRule type="containsText" dxfId="2792" priority="2860" operator="containsText" text="In Danger of Falling Behind Target">
      <formula>NOT(ISERROR(SEARCH("In Danger of Falling Behind Target",I57)))</formula>
    </cfRule>
    <cfRule type="containsText" dxfId="2791" priority="2861" operator="containsText" text="Not yet due">
      <formula>NOT(ISERROR(SEARCH("Not yet due",I57)))</formula>
    </cfRule>
    <cfRule type="containsText" dxfId="2790" priority="2862" operator="containsText" text="Completed Behind Schedule">
      <formula>NOT(ISERROR(SEARCH("Completed Behind Schedule",I57)))</formula>
    </cfRule>
    <cfRule type="containsText" dxfId="2789" priority="2863" operator="containsText" text="Off Target">
      <formula>NOT(ISERROR(SEARCH("Off Target",I57)))</formula>
    </cfRule>
    <cfRule type="containsText" dxfId="2788" priority="2864" operator="containsText" text="In Danger of Falling Behind Target">
      <formula>NOT(ISERROR(SEARCH("In Danger of Falling Behind Target",I57)))</formula>
    </cfRule>
    <cfRule type="containsText" dxfId="2787" priority="2865" operator="containsText" text="On Track to be Achieved">
      <formula>NOT(ISERROR(SEARCH("On Track to be Achieved",I57)))</formula>
    </cfRule>
    <cfRule type="containsText" dxfId="2786" priority="2866" operator="containsText" text="Fully Achieved">
      <formula>NOT(ISERROR(SEARCH("Fully Achieved",I57)))</formula>
    </cfRule>
    <cfRule type="containsText" dxfId="2785" priority="2867" operator="containsText" text="Update not Provided">
      <formula>NOT(ISERROR(SEARCH("Update not Provided",I57)))</formula>
    </cfRule>
    <cfRule type="containsText" dxfId="2784" priority="2868" operator="containsText" text="Not yet due">
      <formula>NOT(ISERROR(SEARCH("Not yet due",I57)))</formula>
    </cfRule>
    <cfRule type="containsText" dxfId="2783" priority="2869" operator="containsText" text="Completed Behind Schedule">
      <formula>NOT(ISERROR(SEARCH("Completed Behind Schedule",I57)))</formula>
    </cfRule>
    <cfRule type="containsText" dxfId="2782" priority="2870" operator="containsText" text="Off Target">
      <formula>NOT(ISERROR(SEARCH("Off Target",I57)))</formula>
    </cfRule>
    <cfRule type="containsText" dxfId="2781" priority="2871" operator="containsText" text="In Danger of Falling Behind Target">
      <formula>NOT(ISERROR(SEARCH("In Danger of Falling Behind Target",I57)))</formula>
    </cfRule>
    <cfRule type="containsText" dxfId="2780" priority="2872" operator="containsText" text="On Track to be Achieved">
      <formula>NOT(ISERROR(SEARCH("On Track to be Achieved",I57)))</formula>
    </cfRule>
    <cfRule type="containsText" dxfId="2779" priority="2873" operator="containsText" text="Fully Achieved">
      <formula>NOT(ISERROR(SEARCH("Fully Achieved",I57)))</formula>
    </cfRule>
    <cfRule type="containsText" dxfId="2778" priority="2874" operator="containsText" text="Fully Achieved">
      <formula>NOT(ISERROR(SEARCH("Fully Achieved",I57)))</formula>
    </cfRule>
    <cfRule type="containsText" dxfId="2777" priority="2875" operator="containsText" text="Fully Achieved">
      <formula>NOT(ISERROR(SEARCH("Fully Achieved",I57)))</formula>
    </cfRule>
    <cfRule type="containsText" dxfId="2776" priority="2876" operator="containsText" text="Deferred">
      <formula>NOT(ISERROR(SEARCH("Deferred",I57)))</formula>
    </cfRule>
    <cfRule type="containsText" dxfId="2775" priority="2877" operator="containsText" text="Deleted">
      <formula>NOT(ISERROR(SEARCH("Deleted",I57)))</formula>
    </cfRule>
    <cfRule type="containsText" dxfId="2774" priority="2878" operator="containsText" text="In Danger of Falling Behind Target">
      <formula>NOT(ISERROR(SEARCH("In Danger of Falling Behind Target",I57)))</formula>
    </cfRule>
    <cfRule type="containsText" dxfId="2773" priority="2879" operator="containsText" text="Not yet due">
      <formula>NOT(ISERROR(SEARCH("Not yet due",I57)))</formula>
    </cfRule>
    <cfRule type="containsText" dxfId="2772" priority="2880" operator="containsText" text="Update not Provided">
      <formula>NOT(ISERROR(SEARCH("Update not Provided",I57)))</formula>
    </cfRule>
  </conditionalFormatting>
  <conditionalFormatting sqref="I63:I64 I66:I67">
    <cfRule type="containsText" dxfId="2771" priority="2809" operator="containsText" text="On track to be achieved">
      <formula>NOT(ISERROR(SEARCH("On track to be achieved",I63)))</formula>
    </cfRule>
    <cfRule type="containsText" dxfId="2770" priority="2810" operator="containsText" text="Deferred">
      <formula>NOT(ISERROR(SEARCH("Deferred",I63)))</formula>
    </cfRule>
    <cfRule type="containsText" dxfId="2769" priority="2811" operator="containsText" text="Deleted">
      <formula>NOT(ISERROR(SEARCH("Deleted",I63)))</formula>
    </cfRule>
    <cfRule type="containsText" dxfId="2768" priority="2812" operator="containsText" text="In Danger of Falling Behind Target">
      <formula>NOT(ISERROR(SEARCH("In Danger of Falling Behind Target",I63)))</formula>
    </cfRule>
    <cfRule type="containsText" dxfId="2767" priority="2813" operator="containsText" text="Not yet due">
      <formula>NOT(ISERROR(SEARCH("Not yet due",I63)))</formula>
    </cfRule>
    <cfRule type="containsText" dxfId="2766" priority="2814" operator="containsText" text="Update not Provided">
      <formula>NOT(ISERROR(SEARCH("Update not Provided",I63)))</formula>
    </cfRule>
    <cfRule type="containsText" dxfId="2765" priority="2815" operator="containsText" text="Not yet due">
      <formula>NOT(ISERROR(SEARCH("Not yet due",I63)))</formula>
    </cfRule>
    <cfRule type="containsText" dxfId="2764" priority="2816" operator="containsText" text="Completed Behind Schedule">
      <formula>NOT(ISERROR(SEARCH("Completed Behind Schedule",I63)))</formula>
    </cfRule>
    <cfRule type="containsText" dxfId="2763" priority="2817" operator="containsText" text="Off Target">
      <formula>NOT(ISERROR(SEARCH("Off Target",I63)))</formula>
    </cfRule>
    <cfRule type="containsText" dxfId="2762" priority="2818" operator="containsText" text="On Track to be Achieved">
      <formula>NOT(ISERROR(SEARCH("On Track to be Achieved",I63)))</formula>
    </cfRule>
    <cfRule type="containsText" dxfId="2761" priority="2819" operator="containsText" text="Fully Achieved">
      <formula>NOT(ISERROR(SEARCH("Fully Achieved",I63)))</formula>
    </cfRule>
    <cfRule type="containsText" dxfId="2760" priority="2820" operator="containsText" text="Not yet due">
      <formula>NOT(ISERROR(SEARCH("Not yet due",I63)))</formula>
    </cfRule>
    <cfRule type="containsText" dxfId="2759" priority="2821" operator="containsText" text="Not Yet Due">
      <formula>NOT(ISERROR(SEARCH("Not Yet Due",I63)))</formula>
    </cfRule>
    <cfRule type="containsText" dxfId="2758" priority="2822" operator="containsText" text="Deferred">
      <formula>NOT(ISERROR(SEARCH("Deferred",I63)))</formula>
    </cfRule>
    <cfRule type="containsText" dxfId="2757" priority="2823" operator="containsText" text="Deleted">
      <formula>NOT(ISERROR(SEARCH("Deleted",I63)))</formula>
    </cfRule>
    <cfRule type="containsText" dxfId="2756" priority="2824" operator="containsText" text="In Danger of Falling Behind Target">
      <formula>NOT(ISERROR(SEARCH("In Danger of Falling Behind Target",I63)))</formula>
    </cfRule>
    <cfRule type="containsText" dxfId="2755" priority="2825" operator="containsText" text="Not yet due">
      <formula>NOT(ISERROR(SEARCH("Not yet due",I63)))</formula>
    </cfRule>
    <cfRule type="containsText" dxfId="2754" priority="2826" operator="containsText" text="Completed Behind Schedule">
      <formula>NOT(ISERROR(SEARCH("Completed Behind Schedule",I63)))</formula>
    </cfRule>
    <cfRule type="containsText" dxfId="2753" priority="2827" operator="containsText" text="Off Target">
      <formula>NOT(ISERROR(SEARCH("Off Target",I63)))</formula>
    </cfRule>
    <cfRule type="containsText" dxfId="2752" priority="2828" operator="containsText" text="In Danger of Falling Behind Target">
      <formula>NOT(ISERROR(SEARCH("In Danger of Falling Behind Target",I63)))</formula>
    </cfRule>
    <cfRule type="containsText" dxfId="2751" priority="2829" operator="containsText" text="On Track to be Achieved">
      <formula>NOT(ISERROR(SEARCH("On Track to be Achieved",I63)))</formula>
    </cfRule>
    <cfRule type="containsText" dxfId="2750" priority="2830" operator="containsText" text="Fully Achieved">
      <formula>NOT(ISERROR(SEARCH("Fully Achieved",I63)))</formula>
    </cfRule>
    <cfRule type="containsText" dxfId="2749" priority="2831" operator="containsText" text="Update not Provided">
      <formula>NOT(ISERROR(SEARCH("Update not Provided",I63)))</formula>
    </cfRule>
    <cfRule type="containsText" dxfId="2748" priority="2832" operator="containsText" text="Not yet due">
      <formula>NOT(ISERROR(SEARCH("Not yet due",I63)))</formula>
    </cfRule>
    <cfRule type="containsText" dxfId="2747" priority="2833" operator="containsText" text="Completed Behind Schedule">
      <formula>NOT(ISERROR(SEARCH("Completed Behind Schedule",I63)))</formula>
    </cfRule>
    <cfRule type="containsText" dxfId="2746" priority="2834" operator="containsText" text="Off Target">
      <formula>NOT(ISERROR(SEARCH("Off Target",I63)))</formula>
    </cfRule>
    <cfRule type="containsText" dxfId="2745" priority="2835" operator="containsText" text="In Danger of Falling Behind Target">
      <formula>NOT(ISERROR(SEARCH("In Danger of Falling Behind Target",I63)))</formula>
    </cfRule>
    <cfRule type="containsText" dxfId="2744" priority="2836" operator="containsText" text="On Track to be Achieved">
      <formula>NOT(ISERROR(SEARCH("On Track to be Achieved",I63)))</formula>
    </cfRule>
    <cfRule type="containsText" dxfId="2743" priority="2837" operator="containsText" text="Fully Achieved">
      <formula>NOT(ISERROR(SEARCH("Fully Achieved",I63)))</formula>
    </cfRule>
    <cfRule type="containsText" dxfId="2742" priority="2838" operator="containsText" text="Fully Achieved">
      <formula>NOT(ISERROR(SEARCH("Fully Achieved",I63)))</formula>
    </cfRule>
    <cfRule type="containsText" dxfId="2741" priority="2839" operator="containsText" text="Fully Achieved">
      <formula>NOT(ISERROR(SEARCH("Fully Achieved",I63)))</formula>
    </cfRule>
    <cfRule type="containsText" dxfId="2740" priority="2840" operator="containsText" text="Deferred">
      <formula>NOT(ISERROR(SEARCH("Deferred",I63)))</formula>
    </cfRule>
    <cfRule type="containsText" dxfId="2739" priority="2841" operator="containsText" text="Deleted">
      <formula>NOT(ISERROR(SEARCH("Deleted",I63)))</formula>
    </cfRule>
    <cfRule type="containsText" dxfId="2738" priority="2842" operator="containsText" text="In Danger of Falling Behind Target">
      <formula>NOT(ISERROR(SEARCH("In Danger of Falling Behind Target",I63)))</formula>
    </cfRule>
    <cfRule type="containsText" dxfId="2737" priority="2843" operator="containsText" text="Not yet due">
      <formula>NOT(ISERROR(SEARCH("Not yet due",I63)))</formula>
    </cfRule>
    <cfRule type="containsText" dxfId="2736" priority="2844" operator="containsText" text="Update not Provided">
      <formula>NOT(ISERROR(SEARCH("Update not Provided",I63)))</formula>
    </cfRule>
  </conditionalFormatting>
  <conditionalFormatting sqref="I68:I73">
    <cfRule type="containsText" dxfId="2735" priority="2773" operator="containsText" text="On track to be achieved">
      <formula>NOT(ISERROR(SEARCH("On track to be achieved",I68)))</formula>
    </cfRule>
    <cfRule type="containsText" dxfId="2734" priority="2774" operator="containsText" text="Deferred">
      <formula>NOT(ISERROR(SEARCH("Deferred",I68)))</formula>
    </cfRule>
    <cfRule type="containsText" dxfId="2733" priority="2775" operator="containsText" text="Deleted">
      <formula>NOT(ISERROR(SEARCH("Deleted",I68)))</formula>
    </cfRule>
    <cfRule type="containsText" dxfId="2732" priority="2776" operator="containsText" text="In Danger of Falling Behind Target">
      <formula>NOT(ISERROR(SEARCH("In Danger of Falling Behind Target",I68)))</formula>
    </cfRule>
    <cfRule type="containsText" dxfId="2731" priority="2777" operator="containsText" text="Not yet due">
      <formula>NOT(ISERROR(SEARCH("Not yet due",I68)))</formula>
    </cfRule>
    <cfRule type="containsText" dxfId="2730" priority="2778" operator="containsText" text="Update not Provided">
      <formula>NOT(ISERROR(SEARCH("Update not Provided",I68)))</formula>
    </cfRule>
    <cfRule type="containsText" dxfId="2729" priority="2779" operator="containsText" text="Not yet due">
      <formula>NOT(ISERROR(SEARCH("Not yet due",I68)))</formula>
    </cfRule>
    <cfRule type="containsText" dxfId="2728" priority="2780" operator="containsText" text="Completed Behind Schedule">
      <formula>NOT(ISERROR(SEARCH("Completed Behind Schedule",I68)))</formula>
    </cfRule>
    <cfRule type="containsText" dxfId="2727" priority="2781" operator="containsText" text="Off Target">
      <formula>NOT(ISERROR(SEARCH("Off Target",I68)))</formula>
    </cfRule>
    <cfRule type="containsText" dxfId="2726" priority="2782" operator="containsText" text="On Track to be Achieved">
      <formula>NOT(ISERROR(SEARCH("On Track to be Achieved",I68)))</formula>
    </cfRule>
    <cfRule type="containsText" dxfId="2725" priority="2783" operator="containsText" text="Fully Achieved">
      <formula>NOT(ISERROR(SEARCH("Fully Achieved",I68)))</formula>
    </cfRule>
    <cfRule type="containsText" dxfId="2724" priority="2784" operator="containsText" text="Not yet due">
      <formula>NOT(ISERROR(SEARCH("Not yet due",I68)))</formula>
    </cfRule>
    <cfRule type="containsText" dxfId="2723" priority="2785" operator="containsText" text="Not Yet Due">
      <formula>NOT(ISERROR(SEARCH("Not Yet Due",I68)))</formula>
    </cfRule>
    <cfRule type="containsText" dxfId="2722" priority="2786" operator="containsText" text="Deferred">
      <formula>NOT(ISERROR(SEARCH("Deferred",I68)))</formula>
    </cfRule>
    <cfRule type="containsText" dxfId="2721" priority="2787" operator="containsText" text="Deleted">
      <formula>NOT(ISERROR(SEARCH("Deleted",I68)))</formula>
    </cfRule>
    <cfRule type="containsText" dxfId="2720" priority="2788" operator="containsText" text="In Danger of Falling Behind Target">
      <formula>NOT(ISERROR(SEARCH("In Danger of Falling Behind Target",I68)))</formula>
    </cfRule>
    <cfRule type="containsText" dxfId="2719" priority="2789" operator="containsText" text="Not yet due">
      <formula>NOT(ISERROR(SEARCH("Not yet due",I68)))</formula>
    </cfRule>
    <cfRule type="containsText" dxfId="2718" priority="2790" operator="containsText" text="Completed Behind Schedule">
      <formula>NOT(ISERROR(SEARCH("Completed Behind Schedule",I68)))</formula>
    </cfRule>
    <cfRule type="containsText" dxfId="2717" priority="2791" operator="containsText" text="Off Target">
      <formula>NOT(ISERROR(SEARCH("Off Target",I68)))</formula>
    </cfRule>
    <cfRule type="containsText" dxfId="2716" priority="2792" operator="containsText" text="In Danger of Falling Behind Target">
      <formula>NOT(ISERROR(SEARCH("In Danger of Falling Behind Target",I68)))</formula>
    </cfRule>
    <cfRule type="containsText" dxfId="2715" priority="2793" operator="containsText" text="On Track to be Achieved">
      <formula>NOT(ISERROR(SEARCH("On Track to be Achieved",I68)))</formula>
    </cfRule>
    <cfRule type="containsText" dxfId="2714" priority="2794" operator="containsText" text="Fully Achieved">
      <formula>NOT(ISERROR(SEARCH("Fully Achieved",I68)))</formula>
    </cfRule>
    <cfRule type="containsText" dxfId="2713" priority="2795" operator="containsText" text="Update not Provided">
      <formula>NOT(ISERROR(SEARCH("Update not Provided",I68)))</formula>
    </cfRule>
    <cfRule type="containsText" dxfId="2712" priority="2796" operator="containsText" text="Not yet due">
      <formula>NOT(ISERROR(SEARCH("Not yet due",I68)))</formula>
    </cfRule>
    <cfRule type="containsText" dxfId="2711" priority="2797" operator="containsText" text="Completed Behind Schedule">
      <formula>NOT(ISERROR(SEARCH("Completed Behind Schedule",I68)))</formula>
    </cfRule>
    <cfRule type="containsText" dxfId="2710" priority="2798" operator="containsText" text="Off Target">
      <formula>NOT(ISERROR(SEARCH("Off Target",I68)))</formula>
    </cfRule>
    <cfRule type="containsText" dxfId="2709" priority="2799" operator="containsText" text="In Danger of Falling Behind Target">
      <formula>NOT(ISERROR(SEARCH("In Danger of Falling Behind Target",I68)))</formula>
    </cfRule>
    <cfRule type="containsText" dxfId="2708" priority="2800" operator="containsText" text="On Track to be Achieved">
      <formula>NOT(ISERROR(SEARCH("On Track to be Achieved",I68)))</formula>
    </cfRule>
    <cfRule type="containsText" dxfId="2707" priority="2801" operator="containsText" text="Fully Achieved">
      <formula>NOT(ISERROR(SEARCH("Fully Achieved",I68)))</formula>
    </cfRule>
    <cfRule type="containsText" dxfId="2706" priority="2802" operator="containsText" text="Fully Achieved">
      <formula>NOT(ISERROR(SEARCH("Fully Achieved",I68)))</formula>
    </cfRule>
    <cfRule type="containsText" dxfId="2705" priority="2803" operator="containsText" text="Fully Achieved">
      <formula>NOT(ISERROR(SEARCH("Fully Achieved",I68)))</formula>
    </cfRule>
    <cfRule type="containsText" dxfId="2704" priority="2804" operator="containsText" text="Deferred">
      <formula>NOT(ISERROR(SEARCH("Deferred",I68)))</formula>
    </cfRule>
    <cfRule type="containsText" dxfId="2703" priority="2805" operator="containsText" text="Deleted">
      <formula>NOT(ISERROR(SEARCH("Deleted",I68)))</formula>
    </cfRule>
    <cfRule type="containsText" dxfId="2702" priority="2806" operator="containsText" text="In Danger of Falling Behind Target">
      <formula>NOT(ISERROR(SEARCH("In Danger of Falling Behind Target",I68)))</formula>
    </cfRule>
    <cfRule type="containsText" dxfId="2701" priority="2807" operator="containsText" text="Not yet due">
      <formula>NOT(ISERROR(SEARCH("Not yet due",I68)))</formula>
    </cfRule>
    <cfRule type="containsText" dxfId="2700" priority="2808" operator="containsText" text="Update not Provided">
      <formula>NOT(ISERROR(SEARCH("Update not Provided",I68)))</formula>
    </cfRule>
  </conditionalFormatting>
  <conditionalFormatting sqref="I74:I82">
    <cfRule type="containsText" dxfId="2699" priority="2737" operator="containsText" text="On track to be achieved">
      <formula>NOT(ISERROR(SEARCH("On track to be achieved",I74)))</formula>
    </cfRule>
    <cfRule type="containsText" dxfId="2698" priority="2738" operator="containsText" text="Deferred">
      <formula>NOT(ISERROR(SEARCH("Deferred",I74)))</formula>
    </cfRule>
    <cfRule type="containsText" dxfId="2697" priority="2739" operator="containsText" text="Deleted">
      <formula>NOT(ISERROR(SEARCH("Deleted",I74)))</formula>
    </cfRule>
    <cfRule type="containsText" dxfId="2696" priority="2740" operator="containsText" text="In Danger of Falling Behind Target">
      <formula>NOT(ISERROR(SEARCH("In Danger of Falling Behind Target",I74)))</formula>
    </cfRule>
    <cfRule type="containsText" dxfId="2695" priority="2741" operator="containsText" text="Not yet due">
      <formula>NOT(ISERROR(SEARCH("Not yet due",I74)))</formula>
    </cfRule>
    <cfRule type="containsText" dxfId="2694" priority="2742" operator="containsText" text="Update not Provided">
      <formula>NOT(ISERROR(SEARCH("Update not Provided",I74)))</formula>
    </cfRule>
    <cfRule type="containsText" dxfId="2693" priority="2743" operator="containsText" text="Not yet due">
      <formula>NOT(ISERROR(SEARCH("Not yet due",I74)))</formula>
    </cfRule>
    <cfRule type="containsText" dxfId="2692" priority="2744" operator="containsText" text="Completed Behind Schedule">
      <formula>NOT(ISERROR(SEARCH("Completed Behind Schedule",I74)))</formula>
    </cfRule>
    <cfRule type="containsText" dxfId="2691" priority="2745" operator="containsText" text="Off Target">
      <formula>NOT(ISERROR(SEARCH("Off Target",I74)))</formula>
    </cfRule>
    <cfRule type="containsText" dxfId="2690" priority="2746" operator="containsText" text="On Track to be Achieved">
      <formula>NOT(ISERROR(SEARCH("On Track to be Achieved",I74)))</formula>
    </cfRule>
    <cfRule type="containsText" dxfId="2689" priority="2747" operator="containsText" text="Fully Achieved">
      <formula>NOT(ISERROR(SEARCH("Fully Achieved",I74)))</formula>
    </cfRule>
    <cfRule type="containsText" dxfId="2688" priority="2748" operator="containsText" text="Not yet due">
      <formula>NOT(ISERROR(SEARCH("Not yet due",I74)))</formula>
    </cfRule>
    <cfRule type="containsText" dxfId="2687" priority="2749" operator="containsText" text="Not Yet Due">
      <formula>NOT(ISERROR(SEARCH("Not Yet Due",I74)))</formula>
    </cfRule>
    <cfRule type="containsText" dxfId="2686" priority="2750" operator="containsText" text="Deferred">
      <formula>NOT(ISERROR(SEARCH("Deferred",I74)))</formula>
    </cfRule>
    <cfRule type="containsText" dxfId="2685" priority="2751" operator="containsText" text="Deleted">
      <formula>NOT(ISERROR(SEARCH("Deleted",I74)))</formula>
    </cfRule>
    <cfRule type="containsText" dxfId="2684" priority="2752" operator="containsText" text="In Danger of Falling Behind Target">
      <formula>NOT(ISERROR(SEARCH("In Danger of Falling Behind Target",I74)))</formula>
    </cfRule>
    <cfRule type="containsText" dxfId="2683" priority="2753" operator="containsText" text="Not yet due">
      <formula>NOT(ISERROR(SEARCH("Not yet due",I74)))</formula>
    </cfRule>
    <cfRule type="containsText" dxfId="2682" priority="2754" operator="containsText" text="Completed Behind Schedule">
      <formula>NOT(ISERROR(SEARCH("Completed Behind Schedule",I74)))</formula>
    </cfRule>
    <cfRule type="containsText" dxfId="2681" priority="2755" operator="containsText" text="Off Target">
      <formula>NOT(ISERROR(SEARCH("Off Target",I74)))</formula>
    </cfRule>
    <cfRule type="containsText" dxfId="2680" priority="2756" operator="containsText" text="In Danger of Falling Behind Target">
      <formula>NOT(ISERROR(SEARCH("In Danger of Falling Behind Target",I74)))</formula>
    </cfRule>
    <cfRule type="containsText" dxfId="2679" priority="2757" operator="containsText" text="On Track to be Achieved">
      <formula>NOT(ISERROR(SEARCH("On Track to be Achieved",I74)))</formula>
    </cfRule>
    <cfRule type="containsText" dxfId="2678" priority="2758" operator="containsText" text="Fully Achieved">
      <formula>NOT(ISERROR(SEARCH("Fully Achieved",I74)))</formula>
    </cfRule>
    <cfRule type="containsText" dxfId="2677" priority="2759" operator="containsText" text="Update not Provided">
      <formula>NOT(ISERROR(SEARCH("Update not Provided",I74)))</formula>
    </cfRule>
    <cfRule type="containsText" dxfId="2676" priority="2760" operator="containsText" text="Not yet due">
      <formula>NOT(ISERROR(SEARCH("Not yet due",I74)))</formula>
    </cfRule>
    <cfRule type="containsText" dxfId="2675" priority="2761" operator="containsText" text="Completed Behind Schedule">
      <formula>NOT(ISERROR(SEARCH("Completed Behind Schedule",I74)))</formula>
    </cfRule>
    <cfRule type="containsText" dxfId="2674" priority="2762" operator="containsText" text="Off Target">
      <formula>NOT(ISERROR(SEARCH("Off Target",I74)))</formula>
    </cfRule>
    <cfRule type="containsText" dxfId="2673" priority="2763" operator="containsText" text="In Danger of Falling Behind Target">
      <formula>NOT(ISERROR(SEARCH("In Danger of Falling Behind Target",I74)))</formula>
    </cfRule>
    <cfRule type="containsText" dxfId="2672" priority="2764" operator="containsText" text="On Track to be Achieved">
      <formula>NOT(ISERROR(SEARCH("On Track to be Achieved",I74)))</formula>
    </cfRule>
    <cfRule type="containsText" dxfId="2671" priority="2765" operator="containsText" text="Fully Achieved">
      <formula>NOT(ISERROR(SEARCH("Fully Achieved",I74)))</formula>
    </cfRule>
    <cfRule type="containsText" dxfId="2670" priority="2766" operator="containsText" text="Fully Achieved">
      <formula>NOT(ISERROR(SEARCH("Fully Achieved",I74)))</formula>
    </cfRule>
    <cfRule type="containsText" dxfId="2669" priority="2767" operator="containsText" text="Fully Achieved">
      <formula>NOT(ISERROR(SEARCH("Fully Achieved",I74)))</formula>
    </cfRule>
    <cfRule type="containsText" dxfId="2668" priority="2768" operator="containsText" text="Deferred">
      <formula>NOT(ISERROR(SEARCH("Deferred",I74)))</formula>
    </cfRule>
    <cfRule type="containsText" dxfId="2667" priority="2769" operator="containsText" text="Deleted">
      <formula>NOT(ISERROR(SEARCH("Deleted",I74)))</formula>
    </cfRule>
    <cfRule type="containsText" dxfId="2666" priority="2770" operator="containsText" text="In Danger of Falling Behind Target">
      <formula>NOT(ISERROR(SEARCH("In Danger of Falling Behind Target",I74)))</formula>
    </cfRule>
    <cfRule type="containsText" dxfId="2665" priority="2771" operator="containsText" text="Not yet due">
      <formula>NOT(ISERROR(SEARCH("Not yet due",I74)))</formula>
    </cfRule>
    <cfRule type="containsText" dxfId="2664" priority="2772" operator="containsText" text="Update not Provided">
      <formula>NOT(ISERROR(SEARCH("Update not Provided",I74)))</formula>
    </cfRule>
  </conditionalFormatting>
  <conditionalFormatting sqref="I84:I88">
    <cfRule type="containsText" dxfId="2663" priority="2665" operator="containsText" text="On track to be achieved">
      <formula>NOT(ISERROR(SEARCH("On track to be achieved",I84)))</formula>
    </cfRule>
    <cfRule type="containsText" dxfId="2662" priority="2666" operator="containsText" text="Deferred">
      <formula>NOT(ISERROR(SEARCH("Deferred",I84)))</formula>
    </cfRule>
    <cfRule type="containsText" dxfId="2661" priority="2667" operator="containsText" text="Deleted">
      <formula>NOT(ISERROR(SEARCH("Deleted",I84)))</formula>
    </cfRule>
    <cfRule type="containsText" dxfId="2660" priority="2668" operator="containsText" text="In Danger of Falling Behind Target">
      <formula>NOT(ISERROR(SEARCH("In Danger of Falling Behind Target",I84)))</formula>
    </cfRule>
    <cfRule type="containsText" dxfId="2659" priority="2669" operator="containsText" text="Not yet due">
      <formula>NOT(ISERROR(SEARCH("Not yet due",I84)))</formula>
    </cfRule>
    <cfRule type="containsText" dxfId="2658" priority="2670" operator="containsText" text="Update not Provided">
      <formula>NOT(ISERROR(SEARCH("Update not Provided",I84)))</formula>
    </cfRule>
    <cfRule type="containsText" dxfId="2657" priority="2671" operator="containsText" text="Not yet due">
      <formula>NOT(ISERROR(SEARCH("Not yet due",I84)))</formula>
    </cfRule>
    <cfRule type="containsText" dxfId="2656" priority="2672" operator="containsText" text="Completed Behind Schedule">
      <formula>NOT(ISERROR(SEARCH("Completed Behind Schedule",I84)))</formula>
    </cfRule>
    <cfRule type="containsText" dxfId="2655" priority="2673" operator="containsText" text="Off Target">
      <formula>NOT(ISERROR(SEARCH("Off Target",I84)))</formula>
    </cfRule>
    <cfRule type="containsText" dxfId="2654" priority="2674" operator="containsText" text="On Track to be Achieved">
      <formula>NOT(ISERROR(SEARCH("On Track to be Achieved",I84)))</formula>
    </cfRule>
    <cfRule type="containsText" dxfId="2653" priority="2675" operator="containsText" text="Fully Achieved">
      <formula>NOT(ISERROR(SEARCH("Fully Achieved",I84)))</formula>
    </cfRule>
    <cfRule type="containsText" dxfId="2652" priority="2676" operator="containsText" text="Not yet due">
      <formula>NOT(ISERROR(SEARCH("Not yet due",I84)))</formula>
    </cfRule>
    <cfRule type="containsText" dxfId="2651" priority="2677" operator="containsText" text="Not Yet Due">
      <formula>NOT(ISERROR(SEARCH("Not Yet Due",I84)))</formula>
    </cfRule>
    <cfRule type="containsText" dxfId="2650" priority="2678" operator="containsText" text="Deferred">
      <formula>NOT(ISERROR(SEARCH("Deferred",I84)))</formula>
    </cfRule>
    <cfRule type="containsText" dxfId="2649" priority="2679" operator="containsText" text="Deleted">
      <formula>NOT(ISERROR(SEARCH("Deleted",I84)))</formula>
    </cfRule>
    <cfRule type="containsText" dxfId="2648" priority="2680" operator="containsText" text="In Danger of Falling Behind Target">
      <formula>NOT(ISERROR(SEARCH("In Danger of Falling Behind Target",I84)))</formula>
    </cfRule>
    <cfRule type="containsText" dxfId="2647" priority="2681" operator="containsText" text="Not yet due">
      <formula>NOT(ISERROR(SEARCH("Not yet due",I84)))</formula>
    </cfRule>
    <cfRule type="containsText" dxfId="2646" priority="2682" operator="containsText" text="Completed Behind Schedule">
      <formula>NOT(ISERROR(SEARCH("Completed Behind Schedule",I84)))</formula>
    </cfRule>
    <cfRule type="containsText" dxfId="2645" priority="2683" operator="containsText" text="Off Target">
      <formula>NOT(ISERROR(SEARCH("Off Target",I84)))</formula>
    </cfRule>
    <cfRule type="containsText" dxfId="2644" priority="2684" operator="containsText" text="In Danger of Falling Behind Target">
      <formula>NOT(ISERROR(SEARCH("In Danger of Falling Behind Target",I84)))</formula>
    </cfRule>
    <cfRule type="containsText" dxfId="2643" priority="2685" operator="containsText" text="On Track to be Achieved">
      <formula>NOT(ISERROR(SEARCH("On Track to be Achieved",I84)))</formula>
    </cfRule>
    <cfRule type="containsText" dxfId="2642" priority="2686" operator="containsText" text="Fully Achieved">
      <formula>NOT(ISERROR(SEARCH("Fully Achieved",I84)))</formula>
    </cfRule>
    <cfRule type="containsText" dxfId="2641" priority="2687" operator="containsText" text="Update not Provided">
      <formula>NOT(ISERROR(SEARCH("Update not Provided",I84)))</formula>
    </cfRule>
    <cfRule type="containsText" dxfId="2640" priority="2688" operator="containsText" text="Not yet due">
      <formula>NOT(ISERROR(SEARCH("Not yet due",I84)))</formula>
    </cfRule>
    <cfRule type="containsText" dxfId="2639" priority="2689" operator="containsText" text="Completed Behind Schedule">
      <formula>NOT(ISERROR(SEARCH("Completed Behind Schedule",I84)))</formula>
    </cfRule>
    <cfRule type="containsText" dxfId="2638" priority="2690" operator="containsText" text="Off Target">
      <formula>NOT(ISERROR(SEARCH("Off Target",I84)))</formula>
    </cfRule>
    <cfRule type="containsText" dxfId="2637" priority="2691" operator="containsText" text="In Danger of Falling Behind Target">
      <formula>NOT(ISERROR(SEARCH("In Danger of Falling Behind Target",I84)))</formula>
    </cfRule>
    <cfRule type="containsText" dxfId="2636" priority="2692" operator="containsText" text="On Track to be Achieved">
      <formula>NOT(ISERROR(SEARCH("On Track to be Achieved",I84)))</formula>
    </cfRule>
    <cfRule type="containsText" dxfId="2635" priority="2693" operator="containsText" text="Fully Achieved">
      <formula>NOT(ISERROR(SEARCH("Fully Achieved",I84)))</formula>
    </cfRule>
    <cfRule type="containsText" dxfId="2634" priority="2694" operator="containsText" text="Fully Achieved">
      <formula>NOT(ISERROR(SEARCH("Fully Achieved",I84)))</formula>
    </cfRule>
    <cfRule type="containsText" dxfId="2633" priority="2695" operator="containsText" text="Fully Achieved">
      <formula>NOT(ISERROR(SEARCH("Fully Achieved",I84)))</formula>
    </cfRule>
    <cfRule type="containsText" dxfId="2632" priority="2696" operator="containsText" text="Deferred">
      <formula>NOT(ISERROR(SEARCH("Deferred",I84)))</formula>
    </cfRule>
    <cfRule type="containsText" dxfId="2631" priority="2697" operator="containsText" text="Deleted">
      <formula>NOT(ISERROR(SEARCH("Deleted",I84)))</formula>
    </cfRule>
    <cfRule type="containsText" dxfId="2630" priority="2698" operator="containsText" text="In Danger of Falling Behind Target">
      <formula>NOT(ISERROR(SEARCH("In Danger of Falling Behind Target",I84)))</formula>
    </cfRule>
    <cfRule type="containsText" dxfId="2629" priority="2699" operator="containsText" text="Not yet due">
      <formula>NOT(ISERROR(SEARCH("Not yet due",I84)))</formula>
    </cfRule>
    <cfRule type="containsText" dxfId="2628" priority="2700" operator="containsText" text="Update not Provided">
      <formula>NOT(ISERROR(SEARCH("Update not Provided",I84)))</formula>
    </cfRule>
  </conditionalFormatting>
  <conditionalFormatting sqref="I89">
    <cfRule type="containsText" dxfId="2627" priority="2629" operator="containsText" text="On track to be achieved">
      <formula>NOT(ISERROR(SEARCH("On track to be achieved",I89)))</formula>
    </cfRule>
    <cfRule type="containsText" dxfId="2626" priority="2630" operator="containsText" text="Deferred">
      <formula>NOT(ISERROR(SEARCH("Deferred",I89)))</formula>
    </cfRule>
    <cfRule type="containsText" dxfId="2625" priority="2631" operator="containsText" text="Deleted">
      <formula>NOT(ISERROR(SEARCH("Deleted",I89)))</formula>
    </cfRule>
    <cfRule type="containsText" dxfId="2624" priority="2632" operator="containsText" text="In Danger of Falling Behind Target">
      <formula>NOT(ISERROR(SEARCH("In Danger of Falling Behind Target",I89)))</formula>
    </cfRule>
    <cfRule type="containsText" dxfId="2623" priority="2633" operator="containsText" text="Not yet due">
      <formula>NOT(ISERROR(SEARCH("Not yet due",I89)))</formula>
    </cfRule>
    <cfRule type="containsText" dxfId="2622" priority="2634" operator="containsText" text="Update not Provided">
      <formula>NOT(ISERROR(SEARCH("Update not Provided",I89)))</formula>
    </cfRule>
    <cfRule type="containsText" dxfId="2621" priority="2635" operator="containsText" text="Not yet due">
      <formula>NOT(ISERROR(SEARCH("Not yet due",I89)))</formula>
    </cfRule>
    <cfRule type="containsText" dxfId="2620" priority="2636" operator="containsText" text="Completed Behind Schedule">
      <formula>NOT(ISERROR(SEARCH("Completed Behind Schedule",I89)))</formula>
    </cfRule>
    <cfRule type="containsText" dxfId="2619" priority="2637" operator="containsText" text="Off Target">
      <formula>NOT(ISERROR(SEARCH("Off Target",I89)))</formula>
    </cfRule>
    <cfRule type="containsText" dxfId="2618" priority="2638" operator="containsText" text="On Track to be Achieved">
      <formula>NOT(ISERROR(SEARCH("On Track to be Achieved",I89)))</formula>
    </cfRule>
    <cfRule type="containsText" dxfId="2617" priority="2639" operator="containsText" text="Fully Achieved">
      <formula>NOT(ISERROR(SEARCH("Fully Achieved",I89)))</formula>
    </cfRule>
    <cfRule type="containsText" dxfId="2616" priority="2640" operator="containsText" text="Not yet due">
      <formula>NOT(ISERROR(SEARCH("Not yet due",I89)))</formula>
    </cfRule>
    <cfRule type="containsText" dxfId="2615" priority="2641" operator="containsText" text="Not Yet Due">
      <formula>NOT(ISERROR(SEARCH("Not Yet Due",I89)))</formula>
    </cfRule>
    <cfRule type="containsText" dxfId="2614" priority="2642" operator="containsText" text="Deferred">
      <formula>NOT(ISERROR(SEARCH("Deferred",I89)))</formula>
    </cfRule>
    <cfRule type="containsText" dxfId="2613" priority="2643" operator="containsText" text="Deleted">
      <formula>NOT(ISERROR(SEARCH("Deleted",I89)))</formula>
    </cfRule>
    <cfRule type="containsText" dxfId="2612" priority="2644" operator="containsText" text="In Danger of Falling Behind Target">
      <formula>NOT(ISERROR(SEARCH("In Danger of Falling Behind Target",I89)))</formula>
    </cfRule>
    <cfRule type="containsText" dxfId="2611" priority="2645" operator="containsText" text="Not yet due">
      <formula>NOT(ISERROR(SEARCH("Not yet due",I89)))</formula>
    </cfRule>
    <cfRule type="containsText" dxfId="2610" priority="2646" operator="containsText" text="Completed Behind Schedule">
      <formula>NOT(ISERROR(SEARCH("Completed Behind Schedule",I89)))</formula>
    </cfRule>
    <cfRule type="containsText" dxfId="2609" priority="2647" operator="containsText" text="Off Target">
      <formula>NOT(ISERROR(SEARCH("Off Target",I89)))</formula>
    </cfRule>
    <cfRule type="containsText" dxfId="2608" priority="2648" operator="containsText" text="In Danger of Falling Behind Target">
      <formula>NOT(ISERROR(SEARCH("In Danger of Falling Behind Target",I89)))</formula>
    </cfRule>
    <cfRule type="containsText" dxfId="2607" priority="2649" operator="containsText" text="On Track to be Achieved">
      <formula>NOT(ISERROR(SEARCH("On Track to be Achieved",I89)))</formula>
    </cfRule>
    <cfRule type="containsText" dxfId="2606" priority="2650" operator="containsText" text="Fully Achieved">
      <formula>NOT(ISERROR(SEARCH("Fully Achieved",I89)))</formula>
    </cfRule>
    <cfRule type="containsText" dxfId="2605" priority="2651" operator="containsText" text="Update not Provided">
      <formula>NOT(ISERROR(SEARCH("Update not Provided",I89)))</formula>
    </cfRule>
    <cfRule type="containsText" dxfId="2604" priority="2652" operator="containsText" text="Not yet due">
      <formula>NOT(ISERROR(SEARCH("Not yet due",I89)))</formula>
    </cfRule>
    <cfRule type="containsText" dxfId="2603" priority="2653" operator="containsText" text="Completed Behind Schedule">
      <formula>NOT(ISERROR(SEARCH("Completed Behind Schedule",I89)))</formula>
    </cfRule>
    <cfRule type="containsText" dxfId="2602" priority="2654" operator="containsText" text="Off Target">
      <formula>NOT(ISERROR(SEARCH("Off Target",I89)))</formula>
    </cfRule>
    <cfRule type="containsText" dxfId="2601" priority="2655" operator="containsText" text="In Danger of Falling Behind Target">
      <formula>NOT(ISERROR(SEARCH("In Danger of Falling Behind Target",I89)))</formula>
    </cfRule>
    <cfRule type="containsText" dxfId="2600" priority="2656" operator="containsText" text="On Track to be Achieved">
      <formula>NOT(ISERROR(SEARCH("On Track to be Achieved",I89)))</formula>
    </cfRule>
    <cfRule type="containsText" dxfId="2599" priority="2657" operator="containsText" text="Fully Achieved">
      <formula>NOT(ISERROR(SEARCH("Fully Achieved",I89)))</formula>
    </cfRule>
    <cfRule type="containsText" dxfId="2598" priority="2658" operator="containsText" text="Fully Achieved">
      <formula>NOT(ISERROR(SEARCH("Fully Achieved",I89)))</formula>
    </cfRule>
    <cfRule type="containsText" dxfId="2597" priority="2659" operator="containsText" text="Fully Achieved">
      <formula>NOT(ISERROR(SEARCH("Fully Achieved",I89)))</formula>
    </cfRule>
    <cfRule type="containsText" dxfId="2596" priority="2660" operator="containsText" text="Deferred">
      <formula>NOT(ISERROR(SEARCH("Deferred",I89)))</formula>
    </cfRule>
    <cfRule type="containsText" dxfId="2595" priority="2661" operator="containsText" text="Deleted">
      <formula>NOT(ISERROR(SEARCH("Deleted",I89)))</formula>
    </cfRule>
    <cfRule type="containsText" dxfId="2594" priority="2662" operator="containsText" text="In Danger of Falling Behind Target">
      <formula>NOT(ISERROR(SEARCH("In Danger of Falling Behind Target",I89)))</formula>
    </cfRule>
    <cfRule type="containsText" dxfId="2593" priority="2663" operator="containsText" text="Not yet due">
      <formula>NOT(ISERROR(SEARCH("Not yet due",I89)))</formula>
    </cfRule>
    <cfRule type="containsText" dxfId="2592" priority="2664" operator="containsText" text="Update not Provided">
      <formula>NOT(ISERROR(SEARCH("Update not Provided",I89)))</formula>
    </cfRule>
  </conditionalFormatting>
  <conditionalFormatting sqref="I90">
    <cfRule type="containsText" dxfId="2591" priority="2593" operator="containsText" text="On track to be achieved">
      <formula>NOT(ISERROR(SEARCH("On track to be achieved",I90)))</formula>
    </cfRule>
    <cfRule type="containsText" dxfId="2590" priority="2594" operator="containsText" text="Deferred">
      <formula>NOT(ISERROR(SEARCH("Deferred",I90)))</formula>
    </cfRule>
    <cfRule type="containsText" dxfId="2589" priority="2595" operator="containsText" text="Deleted">
      <formula>NOT(ISERROR(SEARCH("Deleted",I90)))</formula>
    </cfRule>
    <cfRule type="containsText" dxfId="2588" priority="2596" operator="containsText" text="In Danger of Falling Behind Target">
      <formula>NOT(ISERROR(SEARCH("In Danger of Falling Behind Target",I90)))</formula>
    </cfRule>
    <cfRule type="containsText" dxfId="2587" priority="2597" operator="containsText" text="Not yet due">
      <formula>NOT(ISERROR(SEARCH("Not yet due",I90)))</formula>
    </cfRule>
    <cfRule type="containsText" dxfId="2586" priority="2598" operator="containsText" text="Update not Provided">
      <formula>NOT(ISERROR(SEARCH("Update not Provided",I90)))</formula>
    </cfRule>
    <cfRule type="containsText" dxfId="2585" priority="2599" operator="containsText" text="Not yet due">
      <formula>NOT(ISERROR(SEARCH("Not yet due",I90)))</formula>
    </cfRule>
    <cfRule type="containsText" dxfId="2584" priority="2600" operator="containsText" text="Completed Behind Schedule">
      <formula>NOT(ISERROR(SEARCH("Completed Behind Schedule",I90)))</formula>
    </cfRule>
    <cfRule type="containsText" dxfId="2583" priority="2601" operator="containsText" text="Off Target">
      <formula>NOT(ISERROR(SEARCH("Off Target",I90)))</formula>
    </cfRule>
    <cfRule type="containsText" dxfId="2582" priority="2602" operator="containsText" text="On Track to be Achieved">
      <formula>NOT(ISERROR(SEARCH("On Track to be Achieved",I90)))</formula>
    </cfRule>
    <cfRule type="containsText" dxfId="2581" priority="2603" operator="containsText" text="Fully Achieved">
      <formula>NOT(ISERROR(SEARCH("Fully Achieved",I90)))</formula>
    </cfRule>
    <cfRule type="containsText" dxfId="2580" priority="2604" operator="containsText" text="Not yet due">
      <formula>NOT(ISERROR(SEARCH("Not yet due",I90)))</formula>
    </cfRule>
    <cfRule type="containsText" dxfId="2579" priority="2605" operator="containsText" text="Not Yet Due">
      <formula>NOT(ISERROR(SEARCH("Not Yet Due",I90)))</formula>
    </cfRule>
    <cfRule type="containsText" dxfId="2578" priority="2606" operator="containsText" text="Deferred">
      <formula>NOT(ISERROR(SEARCH("Deferred",I90)))</formula>
    </cfRule>
    <cfRule type="containsText" dxfId="2577" priority="2607" operator="containsText" text="Deleted">
      <formula>NOT(ISERROR(SEARCH("Deleted",I90)))</formula>
    </cfRule>
    <cfRule type="containsText" dxfId="2576" priority="2608" operator="containsText" text="In Danger of Falling Behind Target">
      <formula>NOT(ISERROR(SEARCH("In Danger of Falling Behind Target",I90)))</formula>
    </cfRule>
    <cfRule type="containsText" dxfId="2575" priority="2609" operator="containsText" text="Not yet due">
      <formula>NOT(ISERROR(SEARCH("Not yet due",I90)))</formula>
    </cfRule>
    <cfRule type="containsText" dxfId="2574" priority="2610" operator="containsText" text="Completed Behind Schedule">
      <formula>NOT(ISERROR(SEARCH("Completed Behind Schedule",I90)))</formula>
    </cfRule>
    <cfRule type="containsText" dxfId="2573" priority="2611" operator="containsText" text="Off Target">
      <formula>NOT(ISERROR(SEARCH("Off Target",I90)))</formula>
    </cfRule>
    <cfRule type="containsText" dxfId="2572" priority="2612" operator="containsText" text="In Danger of Falling Behind Target">
      <formula>NOT(ISERROR(SEARCH("In Danger of Falling Behind Target",I90)))</formula>
    </cfRule>
    <cfRule type="containsText" dxfId="2571" priority="2613" operator="containsText" text="On Track to be Achieved">
      <formula>NOT(ISERROR(SEARCH("On Track to be Achieved",I90)))</formula>
    </cfRule>
    <cfRule type="containsText" dxfId="2570" priority="2614" operator="containsText" text="Fully Achieved">
      <formula>NOT(ISERROR(SEARCH("Fully Achieved",I90)))</formula>
    </cfRule>
    <cfRule type="containsText" dxfId="2569" priority="2615" operator="containsText" text="Update not Provided">
      <formula>NOT(ISERROR(SEARCH("Update not Provided",I90)))</formula>
    </cfRule>
    <cfRule type="containsText" dxfId="2568" priority="2616" operator="containsText" text="Not yet due">
      <formula>NOT(ISERROR(SEARCH("Not yet due",I90)))</formula>
    </cfRule>
    <cfRule type="containsText" dxfId="2567" priority="2617" operator="containsText" text="Completed Behind Schedule">
      <formula>NOT(ISERROR(SEARCH("Completed Behind Schedule",I90)))</formula>
    </cfRule>
    <cfRule type="containsText" dxfId="2566" priority="2618" operator="containsText" text="Off Target">
      <formula>NOT(ISERROR(SEARCH("Off Target",I90)))</formula>
    </cfRule>
    <cfRule type="containsText" dxfId="2565" priority="2619" operator="containsText" text="In Danger of Falling Behind Target">
      <formula>NOT(ISERROR(SEARCH("In Danger of Falling Behind Target",I90)))</formula>
    </cfRule>
    <cfRule type="containsText" dxfId="2564" priority="2620" operator="containsText" text="On Track to be Achieved">
      <formula>NOT(ISERROR(SEARCH("On Track to be Achieved",I90)))</formula>
    </cfRule>
    <cfRule type="containsText" dxfId="2563" priority="2621" operator="containsText" text="Fully Achieved">
      <formula>NOT(ISERROR(SEARCH("Fully Achieved",I90)))</formula>
    </cfRule>
    <cfRule type="containsText" dxfId="2562" priority="2622" operator="containsText" text="Fully Achieved">
      <formula>NOT(ISERROR(SEARCH("Fully Achieved",I90)))</formula>
    </cfRule>
    <cfRule type="containsText" dxfId="2561" priority="2623" operator="containsText" text="Fully Achieved">
      <formula>NOT(ISERROR(SEARCH("Fully Achieved",I90)))</formula>
    </cfRule>
    <cfRule type="containsText" dxfId="2560" priority="2624" operator="containsText" text="Deferred">
      <formula>NOT(ISERROR(SEARCH("Deferred",I90)))</formula>
    </cfRule>
    <cfRule type="containsText" dxfId="2559" priority="2625" operator="containsText" text="Deleted">
      <formula>NOT(ISERROR(SEARCH("Deleted",I90)))</formula>
    </cfRule>
    <cfRule type="containsText" dxfId="2558" priority="2626" operator="containsText" text="In Danger of Falling Behind Target">
      <formula>NOT(ISERROR(SEARCH("In Danger of Falling Behind Target",I90)))</formula>
    </cfRule>
    <cfRule type="containsText" dxfId="2557" priority="2627" operator="containsText" text="Not yet due">
      <formula>NOT(ISERROR(SEARCH("Not yet due",I90)))</formula>
    </cfRule>
    <cfRule type="containsText" dxfId="2556" priority="2628" operator="containsText" text="Update not Provided">
      <formula>NOT(ISERROR(SEARCH("Update not Provided",I90)))</formula>
    </cfRule>
  </conditionalFormatting>
  <conditionalFormatting sqref="I91:I93">
    <cfRule type="containsText" dxfId="2555" priority="2557" operator="containsText" text="On track to be achieved">
      <formula>NOT(ISERROR(SEARCH("On track to be achieved",I91)))</formula>
    </cfRule>
    <cfRule type="containsText" dxfId="2554" priority="2558" operator="containsText" text="Deferred">
      <formula>NOT(ISERROR(SEARCH("Deferred",I91)))</formula>
    </cfRule>
    <cfRule type="containsText" dxfId="2553" priority="2559" operator="containsText" text="Deleted">
      <formula>NOT(ISERROR(SEARCH("Deleted",I91)))</formula>
    </cfRule>
    <cfRule type="containsText" dxfId="2552" priority="2560" operator="containsText" text="In Danger of Falling Behind Target">
      <formula>NOT(ISERROR(SEARCH("In Danger of Falling Behind Target",I91)))</formula>
    </cfRule>
    <cfRule type="containsText" dxfId="2551" priority="2561" operator="containsText" text="Not yet due">
      <formula>NOT(ISERROR(SEARCH("Not yet due",I91)))</formula>
    </cfRule>
    <cfRule type="containsText" dxfId="2550" priority="2562" operator="containsText" text="Update not Provided">
      <formula>NOT(ISERROR(SEARCH("Update not Provided",I91)))</formula>
    </cfRule>
    <cfRule type="containsText" dxfId="2549" priority="2563" operator="containsText" text="Not yet due">
      <formula>NOT(ISERROR(SEARCH("Not yet due",I91)))</formula>
    </cfRule>
    <cfRule type="containsText" dxfId="2548" priority="2564" operator="containsText" text="Completed Behind Schedule">
      <formula>NOT(ISERROR(SEARCH("Completed Behind Schedule",I91)))</formula>
    </cfRule>
    <cfRule type="containsText" dxfId="2547" priority="2565" operator="containsText" text="Off Target">
      <formula>NOT(ISERROR(SEARCH("Off Target",I91)))</formula>
    </cfRule>
    <cfRule type="containsText" dxfId="2546" priority="2566" operator="containsText" text="On Track to be Achieved">
      <formula>NOT(ISERROR(SEARCH("On Track to be Achieved",I91)))</formula>
    </cfRule>
    <cfRule type="containsText" dxfId="2545" priority="2567" operator="containsText" text="Fully Achieved">
      <formula>NOT(ISERROR(SEARCH("Fully Achieved",I91)))</formula>
    </cfRule>
    <cfRule type="containsText" dxfId="2544" priority="2568" operator="containsText" text="Not yet due">
      <formula>NOT(ISERROR(SEARCH("Not yet due",I91)))</formula>
    </cfRule>
    <cfRule type="containsText" dxfId="2543" priority="2569" operator="containsText" text="Not Yet Due">
      <formula>NOT(ISERROR(SEARCH("Not Yet Due",I91)))</formula>
    </cfRule>
    <cfRule type="containsText" dxfId="2542" priority="2570" operator="containsText" text="Deferred">
      <formula>NOT(ISERROR(SEARCH("Deferred",I91)))</formula>
    </cfRule>
    <cfRule type="containsText" dxfId="2541" priority="2571" operator="containsText" text="Deleted">
      <formula>NOT(ISERROR(SEARCH("Deleted",I91)))</formula>
    </cfRule>
    <cfRule type="containsText" dxfId="2540" priority="2572" operator="containsText" text="In Danger of Falling Behind Target">
      <formula>NOT(ISERROR(SEARCH("In Danger of Falling Behind Target",I91)))</formula>
    </cfRule>
    <cfRule type="containsText" dxfId="2539" priority="2573" operator="containsText" text="Not yet due">
      <formula>NOT(ISERROR(SEARCH("Not yet due",I91)))</formula>
    </cfRule>
    <cfRule type="containsText" dxfId="2538" priority="2574" operator="containsText" text="Completed Behind Schedule">
      <formula>NOT(ISERROR(SEARCH("Completed Behind Schedule",I91)))</formula>
    </cfRule>
    <cfRule type="containsText" dxfId="2537" priority="2575" operator="containsText" text="Off Target">
      <formula>NOT(ISERROR(SEARCH("Off Target",I91)))</formula>
    </cfRule>
    <cfRule type="containsText" dxfId="2536" priority="2576" operator="containsText" text="In Danger of Falling Behind Target">
      <formula>NOT(ISERROR(SEARCH("In Danger of Falling Behind Target",I91)))</formula>
    </cfRule>
    <cfRule type="containsText" dxfId="2535" priority="2577" operator="containsText" text="On Track to be Achieved">
      <formula>NOT(ISERROR(SEARCH("On Track to be Achieved",I91)))</formula>
    </cfRule>
    <cfRule type="containsText" dxfId="2534" priority="2578" operator="containsText" text="Fully Achieved">
      <formula>NOT(ISERROR(SEARCH("Fully Achieved",I91)))</formula>
    </cfRule>
    <cfRule type="containsText" dxfId="2533" priority="2579" operator="containsText" text="Update not Provided">
      <formula>NOT(ISERROR(SEARCH("Update not Provided",I91)))</formula>
    </cfRule>
    <cfRule type="containsText" dxfId="2532" priority="2580" operator="containsText" text="Not yet due">
      <formula>NOT(ISERROR(SEARCH("Not yet due",I91)))</formula>
    </cfRule>
    <cfRule type="containsText" dxfId="2531" priority="2581" operator="containsText" text="Completed Behind Schedule">
      <formula>NOT(ISERROR(SEARCH("Completed Behind Schedule",I91)))</formula>
    </cfRule>
    <cfRule type="containsText" dxfId="2530" priority="2582" operator="containsText" text="Off Target">
      <formula>NOT(ISERROR(SEARCH("Off Target",I91)))</formula>
    </cfRule>
    <cfRule type="containsText" dxfId="2529" priority="2583" operator="containsText" text="In Danger of Falling Behind Target">
      <formula>NOT(ISERROR(SEARCH("In Danger of Falling Behind Target",I91)))</formula>
    </cfRule>
    <cfRule type="containsText" dxfId="2528" priority="2584" operator="containsText" text="On Track to be Achieved">
      <formula>NOT(ISERROR(SEARCH("On Track to be Achieved",I91)))</formula>
    </cfRule>
    <cfRule type="containsText" dxfId="2527" priority="2585" operator="containsText" text="Fully Achieved">
      <formula>NOT(ISERROR(SEARCH("Fully Achieved",I91)))</formula>
    </cfRule>
    <cfRule type="containsText" dxfId="2526" priority="2586" operator="containsText" text="Fully Achieved">
      <formula>NOT(ISERROR(SEARCH("Fully Achieved",I91)))</formula>
    </cfRule>
    <cfRule type="containsText" dxfId="2525" priority="2587" operator="containsText" text="Fully Achieved">
      <formula>NOT(ISERROR(SEARCH("Fully Achieved",I91)))</formula>
    </cfRule>
    <cfRule type="containsText" dxfId="2524" priority="2588" operator="containsText" text="Deferred">
      <formula>NOT(ISERROR(SEARCH("Deferred",I91)))</formula>
    </cfRule>
    <cfRule type="containsText" dxfId="2523" priority="2589" operator="containsText" text="Deleted">
      <formula>NOT(ISERROR(SEARCH("Deleted",I91)))</formula>
    </cfRule>
    <cfRule type="containsText" dxfId="2522" priority="2590" operator="containsText" text="In Danger of Falling Behind Target">
      <formula>NOT(ISERROR(SEARCH("In Danger of Falling Behind Target",I91)))</formula>
    </cfRule>
    <cfRule type="containsText" dxfId="2521" priority="2591" operator="containsText" text="Not yet due">
      <formula>NOT(ISERROR(SEARCH("Not yet due",I91)))</formula>
    </cfRule>
    <cfRule type="containsText" dxfId="2520" priority="2592" operator="containsText" text="Update not Provided">
      <formula>NOT(ISERROR(SEARCH("Update not Provided",I91)))</formula>
    </cfRule>
  </conditionalFormatting>
  <conditionalFormatting sqref="I94:I99">
    <cfRule type="containsText" dxfId="2519" priority="2521" operator="containsText" text="On track to be achieved">
      <formula>NOT(ISERROR(SEARCH("On track to be achieved",I94)))</formula>
    </cfRule>
    <cfRule type="containsText" dxfId="2518" priority="2522" operator="containsText" text="Deferred">
      <formula>NOT(ISERROR(SEARCH("Deferred",I94)))</formula>
    </cfRule>
    <cfRule type="containsText" dxfId="2517" priority="2523" operator="containsText" text="Deleted">
      <formula>NOT(ISERROR(SEARCH("Deleted",I94)))</formula>
    </cfRule>
    <cfRule type="containsText" dxfId="2516" priority="2524" operator="containsText" text="In Danger of Falling Behind Target">
      <formula>NOT(ISERROR(SEARCH("In Danger of Falling Behind Target",I94)))</formula>
    </cfRule>
    <cfRule type="containsText" dxfId="2515" priority="2525" operator="containsText" text="Not yet due">
      <formula>NOT(ISERROR(SEARCH("Not yet due",I94)))</formula>
    </cfRule>
    <cfRule type="containsText" dxfId="2514" priority="2526" operator="containsText" text="Update not Provided">
      <formula>NOT(ISERROR(SEARCH("Update not Provided",I94)))</formula>
    </cfRule>
    <cfRule type="containsText" dxfId="2513" priority="2527" operator="containsText" text="Not yet due">
      <formula>NOT(ISERROR(SEARCH("Not yet due",I94)))</formula>
    </cfRule>
    <cfRule type="containsText" dxfId="2512" priority="2528" operator="containsText" text="Completed Behind Schedule">
      <formula>NOT(ISERROR(SEARCH("Completed Behind Schedule",I94)))</formula>
    </cfRule>
    <cfRule type="containsText" dxfId="2511" priority="2529" operator="containsText" text="Off Target">
      <formula>NOT(ISERROR(SEARCH("Off Target",I94)))</formula>
    </cfRule>
    <cfRule type="containsText" dxfId="2510" priority="2530" operator="containsText" text="On Track to be Achieved">
      <formula>NOT(ISERROR(SEARCH("On Track to be Achieved",I94)))</formula>
    </cfRule>
    <cfRule type="containsText" dxfId="2509" priority="2531" operator="containsText" text="Fully Achieved">
      <formula>NOT(ISERROR(SEARCH("Fully Achieved",I94)))</formula>
    </cfRule>
    <cfRule type="containsText" dxfId="2508" priority="2532" operator="containsText" text="Not yet due">
      <formula>NOT(ISERROR(SEARCH("Not yet due",I94)))</formula>
    </cfRule>
    <cfRule type="containsText" dxfId="2507" priority="2533" operator="containsText" text="Not Yet Due">
      <formula>NOT(ISERROR(SEARCH("Not Yet Due",I94)))</formula>
    </cfRule>
    <cfRule type="containsText" dxfId="2506" priority="2534" operator="containsText" text="Deferred">
      <formula>NOT(ISERROR(SEARCH("Deferred",I94)))</formula>
    </cfRule>
    <cfRule type="containsText" dxfId="2505" priority="2535" operator="containsText" text="Deleted">
      <formula>NOT(ISERROR(SEARCH("Deleted",I94)))</formula>
    </cfRule>
    <cfRule type="containsText" dxfId="2504" priority="2536" operator="containsText" text="In Danger of Falling Behind Target">
      <formula>NOT(ISERROR(SEARCH("In Danger of Falling Behind Target",I94)))</formula>
    </cfRule>
    <cfRule type="containsText" dxfId="2503" priority="2537" operator="containsText" text="Not yet due">
      <formula>NOT(ISERROR(SEARCH("Not yet due",I94)))</formula>
    </cfRule>
    <cfRule type="containsText" dxfId="2502" priority="2538" operator="containsText" text="Completed Behind Schedule">
      <formula>NOT(ISERROR(SEARCH("Completed Behind Schedule",I94)))</formula>
    </cfRule>
    <cfRule type="containsText" dxfId="2501" priority="2539" operator="containsText" text="Off Target">
      <formula>NOT(ISERROR(SEARCH("Off Target",I94)))</formula>
    </cfRule>
    <cfRule type="containsText" dxfId="2500" priority="2540" operator="containsText" text="In Danger of Falling Behind Target">
      <formula>NOT(ISERROR(SEARCH("In Danger of Falling Behind Target",I94)))</formula>
    </cfRule>
    <cfRule type="containsText" dxfId="2499" priority="2541" operator="containsText" text="On Track to be Achieved">
      <formula>NOT(ISERROR(SEARCH("On Track to be Achieved",I94)))</formula>
    </cfRule>
    <cfRule type="containsText" dxfId="2498" priority="2542" operator="containsText" text="Fully Achieved">
      <formula>NOT(ISERROR(SEARCH("Fully Achieved",I94)))</formula>
    </cfRule>
    <cfRule type="containsText" dxfId="2497" priority="2543" operator="containsText" text="Update not Provided">
      <formula>NOT(ISERROR(SEARCH("Update not Provided",I94)))</formula>
    </cfRule>
    <cfRule type="containsText" dxfId="2496" priority="2544" operator="containsText" text="Not yet due">
      <formula>NOT(ISERROR(SEARCH("Not yet due",I94)))</formula>
    </cfRule>
    <cfRule type="containsText" dxfId="2495" priority="2545" operator="containsText" text="Completed Behind Schedule">
      <formula>NOT(ISERROR(SEARCH("Completed Behind Schedule",I94)))</formula>
    </cfRule>
    <cfRule type="containsText" dxfId="2494" priority="2546" operator="containsText" text="Off Target">
      <formula>NOT(ISERROR(SEARCH("Off Target",I94)))</formula>
    </cfRule>
    <cfRule type="containsText" dxfId="2493" priority="2547" operator="containsText" text="In Danger of Falling Behind Target">
      <formula>NOT(ISERROR(SEARCH("In Danger of Falling Behind Target",I94)))</formula>
    </cfRule>
    <cfRule type="containsText" dxfId="2492" priority="2548" operator="containsText" text="On Track to be Achieved">
      <formula>NOT(ISERROR(SEARCH("On Track to be Achieved",I94)))</formula>
    </cfRule>
    <cfRule type="containsText" dxfId="2491" priority="2549" operator="containsText" text="Fully Achieved">
      <formula>NOT(ISERROR(SEARCH("Fully Achieved",I94)))</formula>
    </cfRule>
    <cfRule type="containsText" dxfId="2490" priority="2550" operator="containsText" text="Fully Achieved">
      <formula>NOT(ISERROR(SEARCH("Fully Achieved",I94)))</formula>
    </cfRule>
    <cfRule type="containsText" dxfId="2489" priority="2551" operator="containsText" text="Fully Achieved">
      <formula>NOT(ISERROR(SEARCH("Fully Achieved",I94)))</formula>
    </cfRule>
    <cfRule type="containsText" dxfId="2488" priority="2552" operator="containsText" text="Deferred">
      <formula>NOT(ISERROR(SEARCH("Deferred",I94)))</formula>
    </cfRule>
    <cfRule type="containsText" dxfId="2487" priority="2553" operator="containsText" text="Deleted">
      <formula>NOT(ISERROR(SEARCH("Deleted",I94)))</formula>
    </cfRule>
    <cfRule type="containsText" dxfId="2486" priority="2554" operator="containsText" text="In Danger of Falling Behind Target">
      <formula>NOT(ISERROR(SEARCH("In Danger of Falling Behind Target",I94)))</formula>
    </cfRule>
    <cfRule type="containsText" dxfId="2485" priority="2555" operator="containsText" text="Not yet due">
      <formula>NOT(ISERROR(SEARCH("Not yet due",I94)))</formula>
    </cfRule>
    <cfRule type="containsText" dxfId="2484" priority="2556" operator="containsText" text="Update not Provided">
      <formula>NOT(ISERROR(SEARCH("Update not Provided",I94)))</formula>
    </cfRule>
  </conditionalFormatting>
  <conditionalFormatting sqref="I100">
    <cfRule type="containsText" dxfId="2483" priority="2485" operator="containsText" text="On track to be achieved">
      <formula>NOT(ISERROR(SEARCH("On track to be achieved",I100)))</formula>
    </cfRule>
    <cfRule type="containsText" dxfId="2482" priority="2486" operator="containsText" text="Deferred">
      <formula>NOT(ISERROR(SEARCH("Deferred",I100)))</formula>
    </cfRule>
    <cfRule type="containsText" dxfId="2481" priority="2487" operator="containsText" text="Deleted">
      <formula>NOT(ISERROR(SEARCH("Deleted",I100)))</formula>
    </cfRule>
    <cfRule type="containsText" dxfId="2480" priority="2488" operator="containsText" text="In Danger of Falling Behind Target">
      <formula>NOT(ISERROR(SEARCH("In Danger of Falling Behind Target",I100)))</formula>
    </cfRule>
    <cfRule type="containsText" dxfId="2479" priority="2489" operator="containsText" text="Not yet due">
      <formula>NOT(ISERROR(SEARCH("Not yet due",I100)))</formula>
    </cfRule>
    <cfRule type="containsText" dxfId="2478" priority="2490" operator="containsText" text="Update not Provided">
      <formula>NOT(ISERROR(SEARCH("Update not Provided",I100)))</formula>
    </cfRule>
    <cfRule type="containsText" dxfId="2477" priority="2491" operator="containsText" text="Not yet due">
      <formula>NOT(ISERROR(SEARCH("Not yet due",I100)))</formula>
    </cfRule>
    <cfRule type="containsText" dxfId="2476" priority="2492" operator="containsText" text="Completed Behind Schedule">
      <formula>NOT(ISERROR(SEARCH("Completed Behind Schedule",I100)))</formula>
    </cfRule>
    <cfRule type="containsText" dxfId="2475" priority="2493" operator="containsText" text="Off Target">
      <formula>NOT(ISERROR(SEARCH("Off Target",I100)))</formula>
    </cfRule>
    <cfRule type="containsText" dxfId="2474" priority="2494" operator="containsText" text="On Track to be Achieved">
      <formula>NOT(ISERROR(SEARCH("On Track to be Achieved",I100)))</formula>
    </cfRule>
    <cfRule type="containsText" dxfId="2473" priority="2495" operator="containsText" text="Fully Achieved">
      <formula>NOT(ISERROR(SEARCH("Fully Achieved",I100)))</formula>
    </cfRule>
    <cfRule type="containsText" dxfId="2472" priority="2496" operator="containsText" text="Not yet due">
      <formula>NOT(ISERROR(SEARCH("Not yet due",I100)))</formula>
    </cfRule>
    <cfRule type="containsText" dxfId="2471" priority="2497" operator="containsText" text="Not Yet Due">
      <formula>NOT(ISERROR(SEARCH("Not Yet Due",I100)))</formula>
    </cfRule>
    <cfRule type="containsText" dxfId="2470" priority="2498" operator="containsText" text="Deferred">
      <formula>NOT(ISERROR(SEARCH("Deferred",I100)))</formula>
    </cfRule>
    <cfRule type="containsText" dxfId="2469" priority="2499" operator="containsText" text="Deleted">
      <formula>NOT(ISERROR(SEARCH("Deleted",I100)))</formula>
    </cfRule>
    <cfRule type="containsText" dxfId="2468" priority="2500" operator="containsText" text="In Danger of Falling Behind Target">
      <formula>NOT(ISERROR(SEARCH("In Danger of Falling Behind Target",I100)))</formula>
    </cfRule>
    <cfRule type="containsText" dxfId="2467" priority="2501" operator="containsText" text="Not yet due">
      <formula>NOT(ISERROR(SEARCH("Not yet due",I100)))</formula>
    </cfRule>
    <cfRule type="containsText" dxfId="2466" priority="2502" operator="containsText" text="Completed Behind Schedule">
      <formula>NOT(ISERROR(SEARCH("Completed Behind Schedule",I100)))</formula>
    </cfRule>
    <cfRule type="containsText" dxfId="2465" priority="2503" operator="containsText" text="Off Target">
      <formula>NOT(ISERROR(SEARCH("Off Target",I100)))</formula>
    </cfRule>
    <cfRule type="containsText" dxfId="2464" priority="2504" operator="containsText" text="In Danger of Falling Behind Target">
      <formula>NOT(ISERROR(SEARCH("In Danger of Falling Behind Target",I100)))</formula>
    </cfRule>
    <cfRule type="containsText" dxfId="2463" priority="2505" operator="containsText" text="On Track to be Achieved">
      <formula>NOT(ISERROR(SEARCH("On Track to be Achieved",I100)))</formula>
    </cfRule>
    <cfRule type="containsText" dxfId="2462" priority="2506" operator="containsText" text="Fully Achieved">
      <formula>NOT(ISERROR(SEARCH("Fully Achieved",I100)))</formula>
    </cfRule>
    <cfRule type="containsText" dxfId="2461" priority="2507" operator="containsText" text="Update not Provided">
      <formula>NOT(ISERROR(SEARCH("Update not Provided",I100)))</formula>
    </cfRule>
    <cfRule type="containsText" dxfId="2460" priority="2508" operator="containsText" text="Not yet due">
      <formula>NOT(ISERROR(SEARCH("Not yet due",I100)))</formula>
    </cfRule>
    <cfRule type="containsText" dxfId="2459" priority="2509" operator="containsText" text="Completed Behind Schedule">
      <formula>NOT(ISERROR(SEARCH("Completed Behind Schedule",I100)))</formula>
    </cfRule>
    <cfRule type="containsText" dxfId="2458" priority="2510" operator="containsText" text="Off Target">
      <formula>NOT(ISERROR(SEARCH("Off Target",I100)))</formula>
    </cfRule>
    <cfRule type="containsText" dxfId="2457" priority="2511" operator="containsText" text="In Danger of Falling Behind Target">
      <formula>NOT(ISERROR(SEARCH("In Danger of Falling Behind Target",I100)))</formula>
    </cfRule>
    <cfRule type="containsText" dxfId="2456" priority="2512" operator="containsText" text="On Track to be Achieved">
      <formula>NOT(ISERROR(SEARCH("On Track to be Achieved",I100)))</formula>
    </cfRule>
    <cfRule type="containsText" dxfId="2455" priority="2513" operator="containsText" text="Fully Achieved">
      <formula>NOT(ISERROR(SEARCH("Fully Achieved",I100)))</formula>
    </cfRule>
    <cfRule type="containsText" dxfId="2454" priority="2514" operator="containsText" text="Fully Achieved">
      <formula>NOT(ISERROR(SEARCH("Fully Achieved",I100)))</formula>
    </cfRule>
    <cfRule type="containsText" dxfId="2453" priority="2515" operator="containsText" text="Fully Achieved">
      <formula>NOT(ISERROR(SEARCH("Fully Achieved",I100)))</formula>
    </cfRule>
    <cfRule type="containsText" dxfId="2452" priority="2516" operator="containsText" text="Deferred">
      <formula>NOT(ISERROR(SEARCH("Deferred",I100)))</formula>
    </cfRule>
    <cfRule type="containsText" dxfId="2451" priority="2517" operator="containsText" text="Deleted">
      <formula>NOT(ISERROR(SEARCH("Deleted",I100)))</formula>
    </cfRule>
    <cfRule type="containsText" dxfId="2450" priority="2518" operator="containsText" text="In Danger of Falling Behind Target">
      <formula>NOT(ISERROR(SEARCH("In Danger of Falling Behind Target",I100)))</formula>
    </cfRule>
    <cfRule type="containsText" dxfId="2449" priority="2519" operator="containsText" text="Not yet due">
      <formula>NOT(ISERROR(SEARCH("Not yet due",I100)))</formula>
    </cfRule>
    <cfRule type="containsText" dxfId="2448" priority="2520" operator="containsText" text="Update not Provided">
      <formula>NOT(ISERROR(SEARCH("Update not Provided",I100)))</formula>
    </cfRule>
  </conditionalFormatting>
  <conditionalFormatting sqref="I102:I105">
    <cfRule type="containsText" dxfId="2447" priority="2449" operator="containsText" text="On track to be achieved">
      <formula>NOT(ISERROR(SEARCH("On track to be achieved",I102)))</formula>
    </cfRule>
    <cfRule type="containsText" dxfId="2446" priority="2450" operator="containsText" text="Deferred">
      <formula>NOT(ISERROR(SEARCH("Deferred",I102)))</formula>
    </cfRule>
    <cfRule type="containsText" dxfId="2445" priority="2451" operator="containsText" text="Deleted">
      <formula>NOT(ISERROR(SEARCH("Deleted",I102)))</formula>
    </cfRule>
    <cfRule type="containsText" dxfId="2444" priority="2452" operator="containsText" text="In Danger of Falling Behind Target">
      <formula>NOT(ISERROR(SEARCH("In Danger of Falling Behind Target",I102)))</formula>
    </cfRule>
    <cfRule type="containsText" dxfId="2443" priority="2453" operator="containsText" text="Not yet due">
      <formula>NOT(ISERROR(SEARCH("Not yet due",I102)))</formula>
    </cfRule>
    <cfRule type="containsText" dxfId="2442" priority="2454" operator="containsText" text="Update not Provided">
      <formula>NOT(ISERROR(SEARCH("Update not Provided",I102)))</formula>
    </cfRule>
    <cfRule type="containsText" dxfId="2441" priority="2455" operator="containsText" text="Not yet due">
      <formula>NOT(ISERROR(SEARCH("Not yet due",I102)))</formula>
    </cfRule>
    <cfRule type="containsText" dxfId="2440" priority="2456" operator="containsText" text="Completed Behind Schedule">
      <formula>NOT(ISERROR(SEARCH("Completed Behind Schedule",I102)))</formula>
    </cfRule>
    <cfRule type="containsText" dxfId="2439" priority="2457" operator="containsText" text="Off Target">
      <formula>NOT(ISERROR(SEARCH("Off Target",I102)))</formula>
    </cfRule>
    <cfRule type="containsText" dxfId="2438" priority="2458" operator="containsText" text="On Track to be Achieved">
      <formula>NOT(ISERROR(SEARCH("On Track to be Achieved",I102)))</formula>
    </cfRule>
    <cfRule type="containsText" dxfId="2437" priority="2459" operator="containsText" text="Fully Achieved">
      <formula>NOT(ISERROR(SEARCH("Fully Achieved",I102)))</formula>
    </cfRule>
    <cfRule type="containsText" dxfId="2436" priority="2460" operator="containsText" text="Not yet due">
      <formula>NOT(ISERROR(SEARCH("Not yet due",I102)))</formula>
    </cfRule>
    <cfRule type="containsText" dxfId="2435" priority="2461" operator="containsText" text="Not Yet Due">
      <formula>NOT(ISERROR(SEARCH("Not Yet Due",I102)))</formula>
    </cfRule>
    <cfRule type="containsText" dxfId="2434" priority="2462" operator="containsText" text="Deferred">
      <formula>NOT(ISERROR(SEARCH("Deferred",I102)))</formula>
    </cfRule>
    <cfRule type="containsText" dxfId="2433" priority="2463" operator="containsText" text="Deleted">
      <formula>NOT(ISERROR(SEARCH("Deleted",I102)))</formula>
    </cfRule>
    <cfRule type="containsText" dxfId="2432" priority="2464" operator="containsText" text="In Danger of Falling Behind Target">
      <formula>NOT(ISERROR(SEARCH("In Danger of Falling Behind Target",I102)))</formula>
    </cfRule>
    <cfRule type="containsText" dxfId="2431" priority="2465" operator="containsText" text="Not yet due">
      <formula>NOT(ISERROR(SEARCH("Not yet due",I102)))</formula>
    </cfRule>
    <cfRule type="containsText" dxfId="2430" priority="2466" operator="containsText" text="Completed Behind Schedule">
      <formula>NOT(ISERROR(SEARCH("Completed Behind Schedule",I102)))</formula>
    </cfRule>
    <cfRule type="containsText" dxfId="2429" priority="2467" operator="containsText" text="Off Target">
      <formula>NOT(ISERROR(SEARCH("Off Target",I102)))</formula>
    </cfRule>
    <cfRule type="containsText" dxfId="2428" priority="2468" operator="containsText" text="In Danger of Falling Behind Target">
      <formula>NOT(ISERROR(SEARCH("In Danger of Falling Behind Target",I102)))</formula>
    </cfRule>
    <cfRule type="containsText" dxfId="2427" priority="2469" operator="containsText" text="On Track to be Achieved">
      <formula>NOT(ISERROR(SEARCH("On Track to be Achieved",I102)))</formula>
    </cfRule>
    <cfRule type="containsText" dxfId="2426" priority="2470" operator="containsText" text="Fully Achieved">
      <formula>NOT(ISERROR(SEARCH("Fully Achieved",I102)))</formula>
    </cfRule>
    <cfRule type="containsText" dxfId="2425" priority="2471" operator="containsText" text="Update not Provided">
      <formula>NOT(ISERROR(SEARCH("Update not Provided",I102)))</formula>
    </cfRule>
    <cfRule type="containsText" dxfId="2424" priority="2472" operator="containsText" text="Not yet due">
      <formula>NOT(ISERROR(SEARCH("Not yet due",I102)))</formula>
    </cfRule>
    <cfRule type="containsText" dxfId="2423" priority="2473" operator="containsText" text="Completed Behind Schedule">
      <formula>NOT(ISERROR(SEARCH("Completed Behind Schedule",I102)))</formula>
    </cfRule>
    <cfRule type="containsText" dxfId="2422" priority="2474" operator="containsText" text="Off Target">
      <formula>NOT(ISERROR(SEARCH("Off Target",I102)))</formula>
    </cfRule>
    <cfRule type="containsText" dxfId="2421" priority="2475" operator="containsText" text="In Danger of Falling Behind Target">
      <formula>NOT(ISERROR(SEARCH("In Danger of Falling Behind Target",I102)))</formula>
    </cfRule>
    <cfRule type="containsText" dxfId="2420" priority="2476" operator="containsText" text="On Track to be Achieved">
      <formula>NOT(ISERROR(SEARCH("On Track to be Achieved",I102)))</formula>
    </cfRule>
    <cfRule type="containsText" dxfId="2419" priority="2477" operator="containsText" text="Fully Achieved">
      <formula>NOT(ISERROR(SEARCH("Fully Achieved",I102)))</formula>
    </cfRule>
    <cfRule type="containsText" dxfId="2418" priority="2478" operator="containsText" text="Fully Achieved">
      <formula>NOT(ISERROR(SEARCH("Fully Achieved",I102)))</formula>
    </cfRule>
    <cfRule type="containsText" dxfId="2417" priority="2479" operator="containsText" text="Fully Achieved">
      <formula>NOT(ISERROR(SEARCH("Fully Achieved",I102)))</formula>
    </cfRule>
    <cfRule type="containsText" dxfId="2416" priority="2480" operator="containsText" text="Deferred">
      <formula>NOT(ISERROR(SEARCH("Deferred",I102)))</formula>
    </cfRule>
    <cfRule type="containsText" dxfId="2415" priority="2481" operator="containsText" text="Deleted">
      <formula>NOT(ISERROR(SEARCH("Deleted",I102)))</formula>
    </cfRule>
    <cfRule type="containsText" dxfId="2414" priority="2482" operator="containsText" text="In Danger of Falling Behind Target">
      <formula>NOT(ISERROR(SEARCH("In Danger of Falling Behind Target",I102)))</formula>
    </cfRule>
    <cfRule type="containsText" dxfId="2413" priority="2483" operator="containsText" text="Not yet due">
      <formula>NOT(ISERROR(SEARCH("Not yet due",I102)))</formula>
    </cfRule>
    <cfRule type="containsText" dxfId="2412" priority="2484" operator="containsText" text="Update not Provided">
      <formula>NOT(ISERROR(SEARCH("Update not Provided",I102)))</formula>
    </cfRule>
  </conditionalFormatting>
  <conditionalFormatting sqref="I106:I108">
    <cfRule type="containsText" dxfId="2411" priority="2413" operator="containsText" text="On track to be achieved">
      <formula>NOT(ISERROR(SEARCH("On track to be achieved",I106)))</formula>
    </cfRule>
    <cfRule type="containsText" dxfId="2410" priority="2414" operator="containsText" text="Deferred">
      <formula>NOT(ISERROR(SEARCH("Deferred",I106)))</formula>
    </cfRule>
    <cfRule type="containsText" dxfId="2409" priority="2415" operator="containsText" text="Deleted">
      <formula>NOT(ISERROR(SEARCH("Deleted",I106)))</formula>
    </cfRule>
    <cfRule type="containsText" dxfId="2408" priority="2416" operator="containsText" text="In Danger of Falling Behind Target">
      <formula>NOT(ISERROR(SEARCH("In Danger of Falling Behind Target",I106)))</formula>
    </cfRule>
    <cfRule type="containsText" dxfId="2407" priority="2417" operator="containsText" text="Not yet due">
      <formula>NOT(ISERROR(SEARCH("Not yet due",I106)))</formula>
    </cfRule>
    <cfRule type="containsText" dxfId="2406" priority="2418" operator="containsText" text="Update not Provided">
      <formula>NOT(ISERROR(SEARCH("Update not Provided",I106)))</formula>
    </cfRule>
    <cfRule type="containsText" dxfId="2405" priority="2419" operator="containsText" text="Not yet due">
      <formula>NOT(ISERROR(SEARCH("Not yet due",I106)))</formula>
    </cfRule>
    <cfRule type="containsText" dxfId="2404" priority="2420" operator="containsText" text="Completed Behind Schedule">
      <formula>NOT(ISERROR(SEARCH("Completed Behind Schedule",I106)))</formula>
    </cfRule>
    <cfRule type="containsText" dxfId="2403" priority="2421" operator="containsText" text="Off Target">
      <formula>NOT(ISERROR(SEARCH("Off Target",I106)))</formula>
    </cfRule>
    <cfRule type="containsText" dxfId="2402" priority="2422" operator="containsText" text="On Track to be Achieved">
      <formula>NOT(ISERROR(SEARCH("On Track to be Achieved",I106)))</formula>
    </cfRule>
    <cfRule type="containsText" dxfId="2401" priority="2423" operator="containsText" text="Fully Achieved">
      <formula>NOT(ISERROR(SEARCH("Fully Achieved",I106)))</formula>
    </cfRule>
    <cfRule type="containsText" dxfId="2400" priority="2424" operator="containsText" text="Not yet due">
      <formula>NOT(ISERROR(SEARCH("Not yet due",I106)))</formula>
    </cfRule>
    <cfRule type="containsText" dxfId="2399" priority="2425" operator="containsText" text="Not Yet Due">
      <formula>NOT(ISERROR(SEARCH("Not Yet Due",I106)))</formula>
    </cfRule>
    <cfRule type="containsText" dxfId="2398" priority="2426" operator="containsText" text="Deferred">
      <formula>NOT(ISERROR(SEARCH("Deferred",I106)))</formula>
    </cfRule>
    <cfRule type="containsText" dxfId="2397" priority="2427" operator="containsText" text="Deleted">
      <formula>NOT(ISERROR(SEARCH("Deleted",I106)))</formula>
    </cfRule>
    <cfRule type="containsText" dxfId="2396" priority="2428" operator="containsText" text="In Danger of Falling Behind Target">
      <formula>NOT(ISERROR(SEARCH("In Danger of Falling Behind Target",I106)))</formula>
    </cfRule>
    <cfRule type="containsText" dxfId="2395" priority="2429" operator="containsText" text="Not yet due">
      <formula>NOT(ISERROR(SEARCH("Not yet due",I106)))</formula>
    </cfRule>
    <cfRule type="containsText" dxfId="2394" priority="2430" operator="containsText" text="Completed Behind Schedule">
      <formula>NOT(ISERROR(SEARCH("Completed Behind Schedule",I106)))</formula>
    </cfRule>
    <cfRule type="containsText" dxfId="2393" priority="2431" operator="containsText" text="Off Target">
      <formula>NOT(ISERROR(SEARCH("Off Target",I106)))</formula>
    </cfRule>
    <cfRule type="containsText" dxfId="2392" priority="2432" operator="containsText" text="In Danger of Falling Behind Target">
      <formula>NOT(ISERROR(SEARCH("In Danger of Falling Behind Target",I106)))</formula>
    </cfRule>
    <cfRule type="containsText" dxfId="2391" priority="2433" operator="containsText" text="On Track to be Achieved">
      <formula>NOT(ISERROR(SEARCH("On Track to be Achieved",I106)))</formula>
    </cfRule>
    <cfRule type="containsText" dxfId="2390" priority="2434" operator="containsText" text="Fully Achieved">
      <formula>NOT(ISERROR(SEARCH("Fully Achieved",I106)))</formula>
    </cfRule>
    <cfRule type="containsText" dxfId="2389" priority="2435" operator="containsText" text="Update not Provided">
      <formula>NOT(ISERROR(SEARCH("Update not Provided",I106)))</formula>
    </cfRule>
    <cfRule type="containsText" dxfId="2388" priority="2436" operator="containsText" text="Not yet due">
      <formula>NOT(ISERROR(SEARCH("Not yet due",I106)))</formula>
    </cfRule>
    <cfRule type="containsText" dxfId="2387" priority="2437" operator="containsText" text="Completed Behind Schedule">
      <formula>NOT(ISERROR(SEARCH("Completed Behind Schedule",I106)))</formula>
    </cfRule>
    <cfRule type="containsText" dxfId="2386" priority="2438" operator="containsText" text="Off Target">
      <formula>NOT(ISERROR(SEARCH("Off Target",I106)))</formula>
    </cfRule>
    <cfRule type="containsText" dxfId="2385" priority="2439" operator="containsText" text="In Danger of Falling Behind Target">
      <formula>NOT(ISERROR(SEARCH("In Danger of Falling Behind Target",I106)))</formula>
    </cfRule>
    <cfRule type="containsText" dxfId="2384" priority="2440" operator="containsText" text="On Track to be Achieved">
      <formula>NOT(ISERROR(SEARCH("On Track to be Achieved",I106)))</formula>
    </cfRule>
    <cfRule type="containsText" dxfId="2383" priority="2441" operator="containsText" text="Fully Achieved">
      <formula>NOT(ISERROR(SEARCH("Fully Achieved",I106)))</formula>
    </cfRule>
    <cfRule type="containsText" dxfId="2382" priority="2442" operator="containsText" text="Fully Achieved">
      <formula>NOT(ISERROR(SEARCH("Fully Achieved",I106)))</formula>
    </cfRule>
    <cfRule type="containsText" dxfId="2381" priority="2443" operator="containsText" text="Fully Achieved">
      <formula>NOT(ISERROR(SEARCH("Fully Achieved",I106)))</formula>
    </cfRule>
    <cfRule type="containsText" dxfId="2380" priority="2444" operator="containsText" text="Deferred">
      <formula>NOT(ISERROR(SEARCH("Deferred",I106)))</formula>
    </cfRule>
    <cfRule type="containsText" dxfId="2379" priority="2445" operator="containsText" text="Deleted">
      <formula>NOT(ISERROR(SEARCH("Deleted",I106)))</formula>
    </cfRule>
    <cfRule type="containsText" dxfId="2378" priority="2446" operator="containsText" text="In Danger of Falling Behind Target">
      <formula>NOT(ISERROR(SEARCH("In Danger of Falling Behind Target",I106)))</formula>
    </cfRule>
    <cfRule type="containsText" dxfId="2377" priority="2447" operator="containsText" text="Not yet due">
      <formula>NOT(ISERROR(SEARCH("Not yet due",I106)))</formula>
    </cfRule>
    <cfRule type="containsText" dxfId="2376" priority="2448" operator="containsText" text="Update not Provided">
      <formula>NOT(ISERROR(SEARCH("Update not Provided",I106)))</formula>
    </cfRule>
  </conditionalFormatting>
  <conditionalFormatting sqref="I109:I111">
    <cfRule type="containsText" dxfId="2375" priority="2377" operator="containsText" text="On track to be achieved">
      <formula>NOT(ISERROR(SEARCH("On track to be achieved",I109)))</formula>
    </cfRule>
    <cfRule type="containsText" dxfId="2374" priority="2378" operator="containsText" text="Deferred">
      <formula>NOT(ISERROR(SEARCH("Deferred",I109)))</formula>
    </cfRule>
    <cfRule type="containsText" dxfId="2373" priority="2379" operator="containsText" text="Deleted">
      <formula>NOT(ISERROR(SEARCH("Deleted",I109)))</formula>
    </cfRule>
    <cfRule type="containsText" dxfId="2372" priority="2380" operator="containsText" text="In Danger of Falling Behind Target">
      <formula>NOT(ISERROR(SEARCH("In Danger of Falling Behind Target",I109)))</formula>
    </cfRule>
    <cfRule type="containsText" dxfId="2371" priority="2381" operator="containsText" text="Not yet due">
      <formula>NOT(ISERROR(SEARCH("Not yet due",I109)))</formula>
    </cfRule>
    <cfRule type="containsText" dxfId="2370" priority="2382" operator="containsText" text="Update not Provided">
      <formula>NOT(ISERROR(SEARCH("Update not Provided",I109)))</formula>
    </cfRule>
    <cfRule type="containsText" dxfId="2369" priority="2383" operator="containsText" text="Not yet due">
      <formula>NOT(ISERROR(SEARCH("Not yet due",I109)))</formula>
    </cfRule>
    <cfRule type="containsText" dxfId="2368" priority="2384" operator="containsText" text="Completed Behind Schedule">
      <formula>NOT(ISERROR(SEARCH("Completed Behind Schedule",I109)))</formula>
    </cfRule>
    <cfRule type="containsText" dxfId="2367" priority="2385" operator="containsText" text="Off Target">
      <formula>NOT(ISERROR(SEARCH("Off Target",I109)))</formula>
    </cfRule>
    <cfRule type="containsText" dxfId="2366" priority="2386" operator="containsText" text="On Track to be Achieved">
      <formula>NOT(ISERROR(SEARCH("On Track to be Achieved",I109)))</formula>
    </cfRule>
    <cfRule type="containsText" dxfId="2365" priority="2387" operator="containsText" text="Fully Achieved">
      <formula>NOT(ISERROR(SEARCH("Fully Achieved",I109)))</formula>
    </cfRule>
    <cfRule type="containsText" dxfId="2364" priority="2388" operator="containsText" text="Not yet due">
      <formula>NOT(ISERROR(SEARCH("Not yet due",I109)))</formula>
    </cfRule>
    <cfRule type="containsText" dxfId="2363" priority="2389" operator="containsText" text="Not Yet Due">
      <formula>NOT(ISERROR(SEARCH("Not Yet Due",I109)))</formula>
    </cfRule>
    <cfRule type="containsText" dxfId="2362" priority="2390" operator="containsText" text="Deferred">
      <formula>NOT(ISERROR(SEARCH("Deferred",I109)))</formula>
    </cfRule>
    <cfRule type="containsText" dxfId="2361" priority="2391" operator="containsText" text="Deleted">
      <formula>NOT(ISERROR(SEARCH("Deleted",I109)))</formula>
    </cfRule>
    <cfRule type="containsText" dxfId="2360" priority="2392" operator="containsText" text="In Danger of Falling Behind Target">
      <formula>NOT(ISERROR(SEARCH("In Danger of Falling Behind Target",I109)))</formula>
    </cfRule>
    <cfRule type="containsText" dxfId="2359" priority="2393" operator="containsText" text="Not yet due">
      <formula>NOT(ISERROR(SEARCH("Not yet due",I109)))</formula>
    </cfRule>
    <cfRule type="containsText" dxfId="2358" priority="2394" operator="containsText" text="Completed Behind Schedule">
      <formula>NOT(ISERROR(SEARCH("Completed Behind Schedule",I109)))</formula>
    </cfRule>
    <cfRule type="containsText" dxfId="2357" priority="2395" operator="containsText" text="Off Target">
      <formula>NOT(ISERROR(SEARCH("Off Target",I109)))</formula>
    </cfRule>
    <cfRule type="containsText" dxfId="2356" priority="2396" operator="containsText" text="In Danger of Falling Behind Target">
      <formula>NOT(ISERROR(SEARCH("In Danger of Falling Behind Target",I109)))</formula>
    </cfRule>
    <cfRule type="containsText" dxfId="2355" priority="2397" operator="containsText" text="On Track to be Achieved">
      <formula>NOT(ISERROR(SEARCH("On Track to be Achieved",I109)))</formula>
    </cfRule>
    <cfRule type="containsText" dxfId="2354" priority="2398" operator="containsText" text="Fully Achieved">
      <formula>NOT(ISERROR(SEARCH("Fully Achieved",I109)))</formula>
    </cfRule>
    <cfRule type="containsText" dxfId="2353" priority="2399" operator="containsText" text="Update not Provided">
      <formula>NOT(ISERROR(SEARCH("Update not Provided",I109)))</formula>
    </cfRule>
    <cfRule type="containsText" dxfId="2352" priority="2400" operator="containsText" text="Not yet due">
      <formula>NOT(ISERROR(SEARCH("Not yet due",I109)))</formula>
    </cfRule>
    <cfRule type="containsText" dxfId="2351" priority="2401" operator="containsText" text="Completed Behind Schedule">
      <formula>NOT(ISERROR(SEARCH("Completed Behind Schedule",I109)))</formula>
    </cfRule>
    <cfRule type="containsText" dxfId="2350" priority="2402" operator="containsText" text="Off Target">
      <formula>NOT(ISERROR(SEARCH("Off Target",I109)))</formula>
    </cfRule>
    <cfRule type="containsText" dxfId="2349" priority="2403" operator="containsText" text="In Danger of Falling Behind Target">
      <formula>NOT(ISERROR(SEARCH("In Danger of Falling Behind Target",I109)))</formula>
    </cfRule>
    <cfRule type="containsText" dxfId="2348" priority="2404" operator="containsText" text="On Track to be Achieved">
      <formula>NOT(ISERROR(SEARCH("On Track to be Achieved",I109)))</formula>
    </cfRule>
    <cfRule type="containsText" dxfId="2347" priority="2405" operator="containsText" text="Fully Achieved">
      <formula>NOT(ISERROR(SEARCH("Fully Achieved",I109)))</formula>
    </cfRule>
    <cfRule type="containsText" dxfId="2346" priority="2406" operator="containsText" text="Fully Achieved">
      <formula>NOT(ISERROR(SEARCH("Fully Achieved",I109)))</formula>
    </cfRule>
    <cfRule type="containsText" dxfId="2345" priority="2407" operator="containsText" text="Fully Achieved">
      <formula>NOT(ISERROR(SEARCH("Fully Achieved",I109)))</formula>
    </cfRule>
    <cfRule type="containsText" dxfId="2344" priority="2408" operator="containsText" text="Deferred">
      <formula>NOT(ISERROR(SEARCH("Deferred",I109)))</formula>
    </cfRule>
    <cfRule type="containsText" dxfId="2343" priority="2409" operator="containsText" text="Deleted">
      <formula>NOT(ISERROR(SEARCH("Deleted",I109)))</formula>
    </cfRule>
    <cfRule type="containsText" dxfId="2342" priority="2410" operator="containsText" text="In Danger of Falling Behind Target">
      <formula>NOT(ISERROR(SEARCH("In Danger of Falling Behind Target",I109)))</formula>
    </cfRule>
    <cfRule type="containsText" dxfId="2341" priority="2411" operator="containsText" text="Not yet due">
      <formula>NOT(ISERROR(SEARCH("Not yet due",I109)))</formula>
    </cfRule>
    <cfRule type="containsText" dxfId="2340" priority="2412" operator="containsText" text="Update not Provided">
      <formula>NOT(ISERROR(SEARCH("Update not Provided",I109)))</formula>
    </cfRule>
  </conditionalFormatting>
  <conditionalFormatting sqref="I112:I116">
    <cfRule type="containsText" dxfId="2339" priority="2341" operator="containsText" text="On track to be achieved">
      <formula>NOT(ISERROR(SEARCH("On track to be achieved",I112)))</formula>
    </cfRule>
    <cfRule type="containsText" dxfId="2338" priority="2342" operator="containsText" text="Deferred">
      <formula>NOT(ISERROR(SEARCH("Deferred",I112)))</formula>
    </cfRule>
    <cfRule type="containsText" dxfId="2337" priority="2343" operator="containsText" text="Deleted">
      <formula>NOT(ISERROR(SEARCH("Deleted",I112)))</formula>
    </cfRule>
    <cfRule type="containsText" dxfId="2336" priority="2344" operator="containsText" text="In Danger of Falling Behind Target">
      <formula>NOT(ISERROR(SEARCH("In Danger of Falling Behind Target",I112)))</formula>
    </cfRule>
    <cfRule type="containsText" dxfId="2335" priority="2345" operator="containsText" text="Not yet due">
      <formula>NOT(ISERROR(SEARCH("Not yet due",I112)))</formula>
    </cfRule>
    <cfRule type="containsText" dxfId="2334" priority="2346" operator="containsText" text="Update not Provided">
      <formula>NOT(ISERROR(SEARCH("Update not Provided",I112)))</formula>
    </cfRule>
    <cfRule type="containsText" dxfId="2333" priority="2347" operator="containsText" text="Not yet due">
      <formula>NOT(ISERROR(SEARCH("Not yet due",I112)))</formula>
    </cfRule>
    <cfRule type="containsText" dxfId="2332" priority="2348" operator="containsText" text="Completed Behind Schedule">
      <formula>NOT(ISERROR(SEARCH("Completed Behind Schedule",I112)))</formula>
    </cfRule>
    <cfRule type="containsText" dxfId="2331" priority="2349" operator="containsText" text="Off Target">
      <formula>NOT(ISERROR(SEARCH("Off Target",I112)))</formula>
    </cfRule>
    <cfRule type="containsText" dxfId="2330" priority="2350" operator="containsText" text="On Track to be Achieved">
      <formula>NOT(ISERROR(SEARCH("On Track to be Achieved",I112)))</formula>
    </cfRule>
    <cfRule type="containsText" dxfId="2329" priority="2351" operator="containsText" text="Fully Achieved">
      <formula>NOT(ISERROR(SEARCH("Fully Achieved",I112)))</formula>
    </cfRule>
    <cfRule type="containsText" dxfId="2328" priority="2352" operator="containsText" text="Not yet due">
      <formula>NOT(ISERROR(SEARCH("Not yet due",I112)))</formula>
    </cfRule>
    <cfRule type="containsText" dxfId="2327" priority="2353" operator="containsText" text="Not Yet Due">
      <formula>NOT(ISERROR(SEARCH("Not Yet Due",I112)))</formula>
    </cfRule>
    <cfRule type="containsText" dxfId="2326" priority="2354" operator="containsText" text="Deferred">
      <formula>NOT(ISERROR(SEARCH("Deferred",I112)))</formula>
    </cfRule>
    <cfRule type="containsText" dxfId="2325" priority="2355" operator="containsText" text="Deleted">
      <formula>NOT(ISERROR(SEARCH("Deleted",I112)))</formula>
    </cfRule>
    <cfRule type="containsText" dxfId="2324" priority="2356" operator="containsText" text="In Danger of Falling Behind Target">
      <formula>NOT(ISERROR(SEARCH("In Danger of Falling Behind Target",I112)))</formula>
    </cfRule>
    <cfRule type="containsText" dxfId="2323" priority="2357" operator="containsText" text="Not yet due">
      <formula>NOT(ISERROR(SEARCH("Not yet due",I112)))</formula>
    </cfRule>
    <cfRule type="containsText" dxfId="2322" priority="2358" operator="containsText" text="Completed Behind Schedule">
      <formula>NOT(ISERROR(SEARCH("Completed Behind Schedule",I112)))</formula>
    </cfRule>
    <cfRule type="containsText" dxfId="2321" priority="2359" operator="containsText" text="Off Target">
      <formula>NOT(ISERROR(SEARCH("Off Target",I112)))</formula>
    </cfRule>
    <cfRule type="containsText" dxfId="2320" priority="2360" operator="containsText" text="In Danger of Falling Behind Target">
      <formula>NOT(ISERROR(SEARCH("In Danger of Falling Behind Target",I112)))</formula>
    </cfRule>
    <cfRule type="containsText" dxfId="2319" priority="2361" operator="containsText" text="On Track to be Achieved">
      <formula>NOT(ISERROR(SEARCH("On Track to be Achieved",I112)))</formula>
    </cfRule>
    <cfRule type="containsText" dxfId="2318" priority="2362" operator="containsText" text="Fully Achieved">
      <formula>NOT(ISERROR(SEARCH("Fully Achieved",I112)))</formula>
    </cfRule>
    <cfRule type="containsText" dxfId="2317" priority="2363" operator="containsText" text="Update not Provided">
      <formula>NOT(ISERROR(SEARCH("Update not Provided",I112)))</formula>
    </cfRule>
    <cfRule type="containsText" dxfId="2316" priority="2364" operator="containsText" text="Not yet due">
      <formula>NOT(ISERROR(SEARCH("Not yet due",I112)))</formula>
    </cfRule>
    <cfRule type="containsText" dxfId="2315" priority="2365" operator="containsText" text="Completed Behind Schedule">
      <formula>NOT(ISERROR(SEARCH("Completed Behind Schedule",I112)))</formula>
    </cfRule>
    <cfRule type="containsText" dxfId="2314" priority="2366" operator="containsText" text="Off Target">
      <formula>NOT(ISERROR(SEARCH("Off Target",I112)))</formula>
    </cfRule>
    <cfRule type="containsText" dxfId="2313" priority="2367" operator="containsText" text="In Danger of Falling Behind Target">
      <formula>NOT(ISERROR(SEARCH("In Danger of Falling Behind Target",I112)))</formula>
    </cfRule>
    <cfRule type="containsText" dxfId="2312" priority="2368" operator="containsText" text="On Track to be Achieved">
      <formula>NOT(ISERROR(SEARCH("On Track to be Achieved",I112)))</formula>
    </cfRule>
    <cfRule type="containsText" dxfId="2311" priority="2369" operator="containsText" text="Fully Achieved">
      <formula>NOT(ISERROR(SEARCH("Fully Achieved",I112)))</formula>
    </cfRule>
    <cfRule type="containsText" dxfId="2310" priority="2370" operator="containsText" text="Fully Achieved">
      <formula>NOT(ISERROR(SEARCH("Fully Achieved",I112)))</formula>
    </cfRule>
    <cfRule type="containsText" dxfId="2309" priority="2371" operator="containsText" text="Fully Achieved">
      <formula>NOT(ISERROR(SEARCH("Fully Achieved",I112)))</formula>
    </cfRule>
    <cfRule type="containsText" dxfId="2308" priority="2372" operator="containsText" text="Deferred">
      <formula>NOT(ISERROR(SEARCH("Deferred",I112)))</formula>
    </cfRule>
    <cfRule type="containsText" dxfId="2307" priority="2373" operator="containsText" text="Deleted">
      <formula>NOT(ISERROR(SEARCH("Deleted",I112)))</formula>
    </cfRule>
    <cfRule type="containsText" dxfId="2306" priority="2374" operator="containsText" text="In Danger of Falling Behind Target">
      <formula>NOT(ISERROR(SEARCH("In Danger of Falling Behind Target",I112)))</formula>
    </cfRule>
    <cfRule type="containsText" dxfId="2305" priority="2375" operator="containsText" text="Not yet due">
      <formula>NOT(ISERROR(SEARCH("Not yet due",I112)))</formula>
    </cfRule>
    <cfRule type="containsText" dxfId="2304" priority="2376" operator="containsText" text="Update not Provided">
      <formula>NOT(ISERROR(SEARCH("Update not Provided",I112)))</formula>
    </cfRule>
  </conditionalFormatting>
  <conditionalFormatting sqref="E4:E7">
    <cfRule type="containsText" dxfId="2303" priority="2305" operator="containsText" text="On track to be achieved">
      <formula>NOT(ISERROR(SEARCH("On track to be achieved",E4)))</formula>
    </cfRule>
    <cfRule type="containsText" dxfId="2302" priority="2306" operator="containsText" text="Deferred">
      <formula>NOT(ISERROR(SEARCH("Deferred",E4)))</formula>
    </cfRule>
    <cfRule type="containsText" dxfId="2301" priority="2307" operator="containsText" text="Deleted">
      <formula>NOT(ISERROR(SEARCH("Deleted",E4)))</formula>
    </cfRule>
    <cfRule type="containsText" dxfId="2300" priority="2308" operator="containsText" text="In Danger of Falling Behind Target">
      <formula>NOT(ISERROR(SEARCH("In Danger of Falling Behind Target",E4)))</formula>
    </cfRule>
    <cfRule type="containsText" dxfId="2299" priority="2309" operator="containsText" text="Not yet due">
      <formula>NOT(ISERROR(SEARCH("Not yet due",E4)))</formula>
    </cfRule>
    <cfRule type="containsText" dxfId="2298" priority="2310" operator="containsText" text="Update not Provided">
      <formula>NOT(ISERROR(SEARCH("Update not Provided",E4)))</formula>
    </cfRule>
    <cfRule type="containsText" dxfId="2297" priority="2311" operator="containsText" text="Not yet due">
      <formula>NOT(ISERROR(SEARCH("Not yet due",E4)))</formula>
    </cfRule>
    <cfRule type="containsText" dxfId="2296" priority="2312" operator="containsText" text="Completed Behind Schedule">
      <formula>NOT(ISERROR(SEARCH("Completed Behind Schedule",E4)))</formula>
    </cfRule>
    <cfRule type="containsText" dxfId="2295" priority="2313" operator="containsText" text="Off Target">
      <formula>NOT(ISERROR(SEARCH("Off Target",E4)))</formula>
    </cfRule>
    <cfRule type="containsText" dxfId="2294" priority="2314" operator="containsText" text="On Track to be Achieved">
      <formula>NOT(ISERROR(SEARCH("On Track to be Achieved",E4)))</formula>
    </cfRule>
    <cfRule type="containsText" dxfId="2293" priority="2315" operator="containsText" text="Fully Achieved">
      <formula>NOT(ISERROR(SEARCH("Fully Achieved",E4)))</formula>
    </cfRule>
    <cfRule type="containsText" dxfId="2292" priority="2316" operator="containsText" text="Not yet due">
      <formula>NOT(ISERROR(SEARCH("Not yet due",E4)))</formula>
    </cfRule>
    <cfRule type="containsText" dxfId="2291" priority="2317" operator="containsText" text="Not Yet Due">
      <formula>NOT(ISERROR(SEARCH("Not Yet Due",E4)))</formula>
    </cfRule>
    <cfRule type="containsText" dxfId="2290" priority="2318" operator="containsText" text="Deferred">
      <formula>NOT(ISERROR(SEARCH("Deferred",E4)))</formula>
    </cfRule>
    <cfRule type="containsText" dxfId="2289" priority="2319" operator="containsText" text="Deleted">
      <formula>NOT(ISERROR(SEARCH("Deleted",E4)))</formula>
    </cfRule>
    <cfRule type="containsText" dxfId="2288" priority="2320" operator="containsText" text="In Danger of Falling Behind Target">
      <formula>NOT(ISERROR(SEARCH("In Danger of Falling Behind Target",E4)))</formula>
    </cfRule>
    <cfRule type="containsText" dxfId="2287" priority="2321" operator="containsText" text="Not yet due">
      <formula>NOT(ISERROR(SEARCH("Not yet due",E4)))</formula>
    </cfRule>
    <cfRule type="containsText" dxfId="2286" priority="2322" operator="containsText" text="Completed Behind Schedule">
      <formula>NOT(ISERROR(SEARCH("Completed Behind Schedule",E4)))</formula>
    </cfRule>
    <cfRule type="containsText" dxfId="2285" priority="2323" operator="containsText" text="Off Target">
      <formula>NOT(ISERROR(SEARCH("Off Target",E4)))</formula>
    </cfRule>
    <cfRule type="containsText" dxfId="2284" priority="2324" operator="containsText" text="In Danger of Falling Behind Target">
      <formula>NOT(ISERROR(SEARCH("In Danger of Falling Behind Target",E4)))</formula>
    </cfRule>
    <cfRule type="containsText" dxfId="2283" priority="2325" operator="containsText" text="On Track to be Achieved">
      <formula>NOT(ISERROR(SEARCH("On Track to be Achieved",E4)))</formula>
    </cfRule>
    <cfRule type="containsText" dxfId="2282" priority="2326" operator="containsText" text="Fully Achieved">
      <formula>NOT(ISERROR(SEARCH("Fully Achieved",E4)))</formula>
    </cfRule>
    <cfRule type="containsText" dxfId="2281" priority="2327" operator="containsText" text="Update not Provided">
      <formula>NOT(ISERROR(SEARCH("Update not Provided",E4)))</formula>
    </cfRule>
    <cfRule type="containsText" dxfId="2280" priority="2328" operator="containsText" text="Not yet due">
      <formula>NOT(ISERROR(SEARCH("Not yet due",E4)))</formula>
    </cfRule>
    <cfRule type="containsText" dxfId="2279" priority="2329" operator="containsText" text="Completed Behind Schedule">
      <formula>NOT(ISERROR(SEARCH("Completed Behind Schedule",E4)))</formula>
    </cfRule>
    <cfRule type="containsText" dxfId="2278" priority="2330" operator="containsText" text="Off Target">
      <formula>NOT(ISERROR(SEARCH("Off Target",E4)))</formula>
    </cfRule>
    <cfRule type="containsText" dxfId="2277" priority="2331" operator="containsText" text="In Danger of Falling Behind Target">
      <formula>NOT(ISERROR(SEARCH("In Danger of Falling Behind Target",E4)))</formula>
    </cfRule>
    <cfRule type="containsText" dxfId="2276" priority="2332" operator="containsText" text="On Track to be Achieved">
      <formula>NOT(ISERROR(SEARCH("On Track to be Achieved",E4)))</formula>
    </cfRule>
    <cfRule type="containsText" dxfId="2275" priority="2333" operator="containsText" text="Fully Achieved">
      <formula>NOT(ISERROR(SEARCH("Fully Achieved",E4)))</formula>
    </cfRule>
    <cfRule type="containsText" dxfId="2274" priority="2334" operator="containsText" text="Fully Achieved">
      <formula>NOT(ISERROR(SEARCH("Fully Achieved",E4)))</formula>
    </cfRule>
    <cfRule type="containsText" dxfId="2273" priority="2335" operator="containsText" text="Fully Achieved">
      <formula>NOT(ISERROR(SEARCH("Fully Achieved",E4)))</formula>
    </cfRule>
    <cfRule type="containsText" dxfId="2272" priority="2336" operator="containsText" text="Deferred">
      <formula>NOT(ISERROR(SEARCH("Deferred",E4)))</formula>
    </cfRule>
    <cfRule type="containsText" dxfId="2271" priority="2337" operator="containsText" text="Deleted">
      <formula>NOT(ISERROR(SEARCH("Deleted",E4)))</formula>
    </cfRule>
    <cfRule type="containsText" dxfId="2270" priority="2338" operator="containsText" text="In Danger of Falling Behind Target">
      <formula>NOT(ISERROR(SEARCH("In Danger of Falling Behind Target",E4)))</formula>
    </cfRule>
    <cfRule type="containsText" dxfId="2269" priority="2339" operator="containsText" text="Not yet due">
      <formula>NOT(ISERROR(SEARCH("Not yet due",E4)))</formula>
    </cfRule>
    <cfRule type="containsText" dxfId="2268" priority="2340" operator="containsText" text="Update not Provided">
      <formula>NOT(ISERROR(SEARCH("Update not Provided",E4)))</formula>
    </cfRule>
  </conditionalFormatting>
  <conditionalFormatting sqref="E9:E23">
    <cfRule type="containsText" dxfId="2267" priority="2269" operator="containsText" text="On track to be achieved">
      <formula>NOT(ISERROR(SEARCH("On track to be achieved",E9)))</formula>
    </cfRule>
    <cfRule type="containsText" dxfId="2266" priority="2270" operator="containsText" text="Deferred">
      <formula>NOT(ISERROR(SEARCH("Deferred",E9)))</formula>
    </cfRule>
    <cfRule type="containsText" dxfId="2265" priority="2271" operator="containsText" text="Deleted">
      <formula>NOT(ISERROR(SEARCH("Deleted",E9)))</formula>
    </cfRule>
    <cfRule type="containsText" dxfId="2264" priority="2272" operator="containsText" text="In Danger of Falling Behind Target">
      <formula>NOT(ISERROR(SEARCH("In Danger of Falling Behind Target",E9)))</formula>
    </cfRule>
    <cfRule type="containsText" dxfId="2263" priority="2273" operator="containsText" text="Not yet due">
      <formula>NOT(ISERROR(SEARCH("Not yet due",E9)))</formula>
    </cfRule>
    <cfRule type="containsText" dxfId="2262" priority="2274" operator="containsText" text="Update not Provided">
      <formula>NOT(ISERROR(SEARCH("Update not Provided",E9)))</formula>
    </cfRule>
    <cfRule type="containsText" dxfId="2261" priority="2275" operator="containsText" text="Not yet due">
      <formula>NOT(ISERROR(SEARCH("Not yet due",E9)))</formula>
    </cfRule>
    <cfRule type="containsText" dxfId="2260" priority="2276" operator="containsText" text="Completed Behind Schedule">
      <formula>NOT(ISERROR(SEARCH("Completed Behind Schedule",E9)))</formula>
    </cfRule>
    <cfRule type="containsText" dxfId="2259" priority="2277" operator="containsText" text="Off Target">
      <formula>NOT(ISERROR(SEARCH("Off Target",E9)))</formula>
    </cfRule>
    <cfRule type="containsText" dxfId="2258" priority="2278" operator="containsText" text="On Track to be Achieved">
      <formula>NOT(ISERROR(SEARCH("On Track to be Achieved",E9)))</formula>
    </cfRule>
    <cfRule type="containsText" dxfId="2257" priority="2279" operator="containsText" text="Fully Achieved">
      <formula>NOT(ISERROR(SEARCH("Fully Achieved",E9)))</formula>
    </cfRule>
    <cfRule type="containsText" dxfId="2256" priority="2280" operator="containsText" text="Not yet due">
      <formula>NOT(ISERROR(SEARCH("Not yet due",E9)))</formula>
    </cfRule>
    <cfRule type="containsText" dxfId="2255" priority="2281" operator="containsText" text="Not Yet Due">
      <formula>NOT(ISERROR(SEARCH("Not Yet Due",E9)))</formula>
    </cfRule>
    <cfRule type="containsText" dxfId="2254" priority="2282" operator="containsText" text="Deferred">
      <formula>NOT(ISERROR(SEARCH("Deferred",E9)))</formula>
    </cfRule>
    <cfRule type="containsText" dxfId="2253" priority="2283" operator="containsText" text="Deleted">
      <formula>NOT(ISERROR(SEARCH("Deleted",E9)))</formula>
    </cfRule>
    <cfRule type="containsText" dxfId="2252" priority="2284" operator="containsText" text="In Danger of Falling Behind Target">
      <formula>NOT(ISERROR(SEARCH("In Danger of Falling Behind Target",E9)))</formula>
    </cfRule>
    <cfRule type="containsText" dxfId="2251" priority="2285" operator="containsText" text="Not yet due">
      <formula>NOT(ISERROR(SEARCH("Not yet due",E9)))</formula>
    </cfRule>
    <cfRule type="containsText" dxfId="2250" priority="2286" operator="containsText" text="Completed Behind Schedule">
      <formula>NOT(ISERROR(SEARCH("Completed Behind Schedule",E9)))</formula>
    </cfRule>
    <cfRule type="containsText" dxfId="2249" priority="2287" operator="containsText" text="Off Target">
      <formula>NOT(ISERROR(SEARCH("Off Target",E9)))</formula>
    </cfRule>
    <cfRule type="containsText" dxfId="2248" priority="2288" operator="containsText" text="In Danger of Falling Behind Target">
      <formula>NOT(ISERROR(SEARCH("In Danger of Falling Behind Target",E9)))</formula>
    </cfRule>
    <cfRule type="containsText" dxfId="2247" priority="2289" operator="containsText" text="On Track to be Achieved">
      <formula>NOT(ISERROR(SEARCH("On Track to be Achieved",E9)))</formula>
    </cfRule>
    <cfRule type="containsText" dxfId="2246" priority="2290" operator="containsText" text="Fully Achieved">
      <formula>NOT(ISERROR(SEARCH("Fully Achieved",E9)))</formula>
    </cfRule>
    <cfRule type="containsText" dxfId="2245" priority="2291" operator="containsText" text="Update not Provided">
      <formula>NOT(ISERROR(SEARCH("Update not Provided",E9)))</formula>
    </cfRule>
    <cfRule type="containsText" dxfId="2244" priority="2292" operator="containsText" text="Not yet due">
      <formula>NOT(ISERROR(SEARCH("Not yet due",E9)))</formula>
    </cfRule>
    <cfRule type="containsText" dxfId="2243" priority="2293" operator="containsText" text="Completed Behind Schedule">
      <formula>NOT(ISERROR(SEARCH("Completed Behind Schedule",E9)))</formula>
    </cfRule>
    <cfRule type="containsText" dxfId="2242" priority="2294" operator="containsText" text="Off Target">
      <formula>NOT(ISERROR(SEARCH("Off Target",E9)))</formula>
    </cfRule>
    <cfRule type="containsText" dxfId="2241" priority="2295" operator="containsText" text="In Danger of Falling Behind Target">
      <formula>NOT(ISERROR(SEARCH("In Danger of Falling Behind Target",E9)))</formula>
    </cfRule>
    <cfRule type="containsText" dxfId="2240" priority="2296" operator="containsText" text="On Track to be Achieved">
      <formula>NOT(ISERROR(SEARCH("On Track to be Achieved",E9)))</formula>
    </cfRule>
    <cfRule type="containsText" dxfId="2239" priority="2297" operator="containsText" text="Fully Achieved">
      <formula>NOT(ISERROR(SEARCH("Fully Achieved",E9)))</formula>
    </cfRule>
    <cfRule type="containsText" dxfId="2238" priority="2298" operator="containsText" text="Fully Achieved">
      <formula>NOT(ISERROR(SEARCH("Fully Achieved",E9)))</formula>
    </cfRule>
    <cfRule type="containsText" dxfId="2237" priority="2299" operator="containsText" text="Fully Achieved">
      <formula>NOT(ISERROR(SEARCH("Fully Achieved",E9)))</formula>
    </cfRule>
    <cfRule type="containsText" dxfId="2236" priority="2300" operator="containsText" text="Deferred">
      <formula>NOT(ISERROR(SEARCH("Deferred",E9)))</formula>
    </cfRule>
    <cfRule type="containsText" dxfId="2235" priority="2301" operator="containsText" text="Deleted">
      <formula>NOT(ISERROR(SEARCH("Deleted",E9)))</formula>
    </cfRule>
    <cfRule type="containsText" dxfId="2234" priority="2302" operator="containsText" text="In Danger of Falling Behind Target">
      <formula>NOT(ISERROR(SEARCH("In Danger of Falling Behind Target",E9)))</formula>
    </cfRule>
    <cfRule type="containsText" dxfId="2233" priority="2303" operator="containsText" text="Not yet due">
      <formula>NOT(ISERROR(SEARCH("Not yet due",E9)))</formula>
    </cfRule>
    <cfRule type="containsText" dxfId="2232" priority="2304" operator="containsText" text="Update not Provided">
      <formula>NOT(ISERROR(SEARCH("Update not Provided",E9)))</formula>
    </cfRule>
  </conditionalFormatting>
  <conditionalFormatting sqref="E25:E28">
    <cfRule type="containsText" dxfId="2231" priority="2233" operator="containsText" text="On track to be achieved">
      <formula>NOT(ISERROR(SEARCH("On track to be achieved",E25)))</formula>
    </cfRule>
    <cfRule type="containsText" dxfId="2230" priority="2234" operator="containsText" text="Deferred">
      <formula>NOT(ISERROR(SEARCH("Deferred",E25)))</formula>
    </cfRule>
    <cfRule type="containsText" dxfId="2229" priority="2235" operator="containsText" text="Deleted">
      <formula>NOT(ISERROR(SEARCH("Deleted",E25)))</formula>
    </cfRule>
    <cfRule type="containsText" dxfId="2228" priority="2236" operator="containsText" text="In Danger of Falling Behind Target">
      <formula>NOT(ISERROR(SEARCH("In Danger of Falling Behind Target",E25)))</formula>
    </cfRule>
    <cfRule type="containsText" dxfId="2227" priority="2237" operator="containsText" text="Not yet due">
      <formula>NOT(ISERROR(SEARCH("Not yet due",E25)))</formula>
    </cfRule>
    <cfRule type="containsText" dxfId="2226" priority="2238" operator="containsText" text="Update not Provided">
      <formula>NOT(ISERROR(SEARCH("Update not Provided",E25)))</formula>
    </cfRule>
    <cfRule type="containsText" dxfId="2225" priority="2239" operator="containsText" text="Not yet due">
      <formula>NOT(ISERROR(SEARCH("Not yet due",E25)))</formula>
    </cfRule>
    <cfRule type="containsText" dxfId="2224" priority="2240" operator="containsText" text="Completed Behind Schedule">
      <formula>NOT(ISERROR(SEARCH("Completed Behind Schedule",E25)))</formula>
    </cfRule>
    <cfRule type="containsText" dxfId="2223" priority="2241" operator="containsText" text="Off Target">
      <formula>NOT(ISERROR(SEARCH("Off Target",E25)))</formula>
    </cfRule>
    <cfRule type="containsText" dxfId="2222" priority="2242" operator="containsText" text="On Track to be Achieved">
      <formula>NOT(ISERROR(SEARCH("On Track to be Achieved",E25)))</formula>
    </cfRule>
    <cfRule type="containsText" dxfId="2221" priority="2243" operator="containsText" text="Fully Achieved">
      <formula>NOT(ISERROR(SEARCH("Fully Achieved",E25)))</formula>
    </cfRule>
    <cfRule type="containsText" dxfId="2220" priority="2244" operator="containsText" text="Not yet due">
      <formula>NOT(ISERROR(SEARCH("Not yet due",E25)))</formula>
    </cfRule>
    <cfRule type="containsText" dxfId="2219" priority="2245" operator="containsText" text="Not Yet Due">
      <formula>NOT(ISERROR(SEARCH("Not Yet Due",E25)))</formula>
    </cfRule>
    <cfRule type="containsText" dxfId="2218" priority="2246" operator="containsText" text="Deferred">
      <formula>NOT(ISERROR(SEARCH("Deferred",E25)))</formula>
    </cfRule>
    <cfRule type="containsText" dxfId="2217" priority="2247" operator="containsText" text="Deleted">
      <formula>NOT(ISERROR(SEARCH("Deleted",E25)))</formula>
    </cfRule>
    <cfRule type="containsText" dxfId="2216" priority="2248" operator="containsText" text="In Danger of Falling Behind Target">
      <formula>NOT(ISERROR(SEARCH("In Danger of Falling Behind Target",E25)))</formula>
    </cfRule>
    <cfRule type="containsText" dxfId="2215" priority="2249" operator="containsText" text="Not yet due">
      <formula>NOT(ISERROR(SEARCH("Not yet due",E25)))</formula>
    </cfRule>
    <cfRule type="containsText" dxfId="2214" priority="2250" operator="containsText" text="Completed Behind Schedule">
      <formula>NOT(ISERROR(SEARCH("Completed Behind Schedule",E25)))</formula>
    </cfRule>
    <cfRule type="containsText" dxfId="2213" priority="2251" operator="containsText" text="Off Target">
      <formula>NOT(ISERROR(SEARCH("Off Target",E25)))</formula>
    </cfRule>
    <cfRule type="containsText" dxfId="2212" priority="2252" operator="containsText" text="In Danger of Falling Behind Target">
      <formula>NOT(ISERROR(SEARCH("In Danger of Falling Behind Target",E25)))</formula>
    </cfRule>
    <cfRule type="containsText" dxfId="2211" priority="2253" operator="containsText" text="On Track to be Achieved">
      <formula>NOT(ISERROR(SEARCH("On Track to be Achieved",E25)))</formula>
    </cfRule>
    <cfRule type="containsText" dxfId="2210" priority="2254" operator="containsText" text="Fully Achieved">
      <formula>NOT(ISERROR(SEARCH("Fully Achieved",E25)))</formula>
    </cfRule>
    <cfRule type="containsText" dxfId="2209" priority="2255" operator="containsText" text="Update not Provided">
      <formula>NOT(ISERROR(SEARCH("Update not Provided",E25)))</formula>
    </cfRule>
    <cfRule type="containsText" dxfId="2208" priority="2256" operator="containsText" text="Not yet due">
      <formula>NOT(ISERROR(SEARCH("Not yet due",E25)))</formula>
    </cfRule>
    <cfRule type="containsText" dxfId="2207" priority="2257" operator="containsText" text="Completed Behind Schedule">
      <formula>NOT(ISERROR(SEARCH("Completed Behind Schedule",E25)))</formula>
    </cfRule>
    <cfRule type="containsText" dxfId="2206" priority="2258" operator="containsText" text="Off Target">
      <formula>NOT(ISERROR(SEARCH("Off Target",E25)))</formula>
    </cfRule>
    <cfRule type="containsText" dxfId="2205" priority="2259" operator="containsText" text="In Danger of Falling Behind Target">
      <formula>NOT(ISERROR(SEARCH("In Danger of Falling Behind Target",E25)))</formula>
    </cfRule>
    <cfRule type="containsText" dxfId="2204" priority="2260" operator="containsText" text="On Track to be Achieved">
      <formula>NOT(ISERROR(SEARCH("On Track to be Achieved",E25)))</formula>
    </cfRule>
    <cfRule type="containsText" dxfId="2203" priority="2261" operator="containsText" text="Fully Achieved">
      <formula>NOT(ISERROR(SEARCH("Fully Achieved",E25)))</formula>
    </cfRule>
    <cfRule type="containsText" dxfId="2202" priority="2262" operator="containsText" text="Fully Achieved">
      <formula>NOT(ISERROR(SEARCH("Fully Achieved",E25)))</formula>
    </cfRule>
    <cfRule type="containsText" dxfId="2201" priority="2263" operator="containsText" text="Fully Achieved">
      <formula>NOT(ISERROR(SEARCH("Fully Achieved",E25)))</formula>
    </cfRule>
    <cfRule type="containsText" dxfId="2200" priority="2264" operator="containsText" text="Deferred">
      <formula>NOT(ISERROR(SEARCH("Deferred",E25)))</formula>
    </cfRule>
    <cfRule type="containsText" dxfId="2199" priority="2265" operator="containsText" text="Deleted">
      <formula>NOT(ISERROR(SEARCH("Deleted",E25)))</formula>
    </cfRule>
    <cfRule type="containsText" dxfId="2198" priority="2266" operator="containsText" text="In Danger of Falling Behind Target">
      <formula>NOT(ISERROR(SEARCH("In Danger of Falling Behind Target",E25)))</formula>
    </cfRule>
    <cfRule type="containsText" dxfId="2197" priority="2267" operator="containsText" text="Not yet due">
      <formula>NOT(ISERROR(SEARCH("Not yet due",E25)))</formula>
    </cfRule>
    <cfRule type="containsText" dxfId="2196" priority="2268" operator="containsText" text="Update not Provided">
      <formula>NOT(ISERROR(SEARCH("Update not Provided",E25)))</formula>
    </cfRule>
  </conditionalFormatting>
  <conditionalFormatting sqref="E32">
    <cfRule type="containsText" dxfId="2195" priority="2197" operator="containsText" text="On track to be achieved">
      <formula>NOT(ISERROR(SEARCH("On track to be achieved",E32)))</formula>
    </cfRule>
    <cfRule type="containsText" dxfId="2194" priority="2198" operator="containsText" text="Deferred">
      <formula>NOT(ISERROR(SEARCH("Deferred",E32)))</formula>
    </cfRule>
    <cfRule type="containsText" dxfId="2193" priority="2199" operator="containsText" text="Deleted">
      <formula>NOT(ISERROR(SEARCH("Deleted",E32)))</formula>
    </cfRule>
    <cfRule type="containsText" dxfId="2192" priority="2200" operator="containsText" text="In Danger of Falling Behind Target">
      <formula>NOT(ISERROR(SEARCH("In Danger of Falling Behind Target",E32)))</formula>
    </cfRule>
    <cfRule type="containsText" dxfId="2191" priority="2201" operator="containsText" text="Not yet due">
      <formula>NOT(ISERROR(SEARCH("Not yet due",E32)))</formula>
    </cfRule>
    <cfRule type="containsText" dxfId="2190" priority="2202" operator="containsText" text="Update not Provided">
      <formula>NOT(ISERROR(SEARCH("Update not Provided",E32)))</formula>
    </cfRule>
    <cfRule type="containsText" dxfId="2189" priority="2203" operator="containsText" text="Not yet due">
      <formula>NOT(ISERROR(SEARCH("Not yet due",E32)))</formula>
    </cfRule>
    <cfRule type="containsText" dxfId="2188" priority="2204" operator="containsText" text="Completed Behind Schedule">
      <formula>NOT(ISERROR(SEARCH("Completed Behind Schedule",E32)))</formula>
    </cfRule>
    <cfRule type="containsText" dxfId="2187" priority="2205" operator="containsText" text="Off Target">
      <formula>NOT(ISERROR(SEARCH("Off Target",E32)))</formula>
    </cfRule>
    <cfRule type="containsText" dxfId="2186" priority="2206" operator="containsText" text="On Track to be Achieved">
      <formula>NOT(ISERROR(SEARCH("On Track to be Achieved",E32)))</formula>
    </cfRule>
    <cfRule type="containsText" dxfId="2185" priority="2207" operator="containsText" text="Fully Achieved">
      <formula>NOT(ISERROR(SEARCH("Fully Achieved",E32)))</formula>
    </cfRule>
    <cfRule type="containsText" dxfId="2184" priority="2208" operator="containsText" text="Not yet due">
      <formula>NOT(ISERROR(SEARCH("Not yet due",E32)))</formula>
    </cfRule>
    <cfRule type="containsText" dxfId="2183" priority="2209" operator="containsText" text="Not Yet Due">
      <formula>NOT(ISERROR(SEARCH("Not Yet Due",E32)))</formula>
    </cfRule>
    <cfRule type="containsText" dxfId="2182" priority="2210" operator="containsText" text="Deferred">
      <formula>NOT(ISERROR(SEARCH("Deferred",E32)))</formula>
    </cfRule>
    <cfRule type="containsText" dxfId="2181" priority="2211" operator="containsText" text="Deleted">
      <formula>NOT(ISERROR(SEARCH("Deleted",E32)))</formula>
    </cfRule>
    <cfRule type="containsText" dxfId="2180" priority="2212" operator="containsText" text="In Danger of Falling Behind Target">
      <formula>NOT(ISERROR(SEARCH("In Danger of Falling Behind Target",E32)))</formula>
    </cfRule>
    <cfRule type="containsText" dxfId="2179" priority="2213" operator="containsText" text="Not yet due">
      <formula>NOT(ISERROR(SEARCH("Not yet due",E32)))</formula>
    </cfRule>
    <cfRule type="containsText" dxfId="2178" priority="2214" operator="containsText" text="Completed Behind Schedule">
      <formula>NOT(ISERROR(SEARCH("Completed Behind Schedule",E32)))</formula>
    </cfRule>
    <cfRule type="containsText" dxfId="2177" priority="2215" operator="containsText" text="Off Target">
      <formula>NOT(ISERROR(SEARCH("Off Target",E32)))</formula>
    </cfRule>
    <cfRule type="containsText" dxfId="2176" priority="2216" operator="containsText" text="In Danger of Falling Behind Target">
      <formula>NOT(ISERROR(SEARCH("In Danger of Falling Behind Target",E32)))</formula>
    </cfRule>
    <cfRule type="containsText" dxfId="2175" priority="2217" operator="containsText" text="On Track to be Achieved">
      <formula>NOT(ISERROR(SEARCH("On Track to be Achieved",E32)))</formula>
    </cfRule>
    <cfRule type="containsText" dxfId="2174" priority="2218" operator="containsText" text="Fully Achieved">
      <formula>NOT(ISERROR(SEARCH("Fully Achieved",E32)))</formula>
    </cfRule>
    <cfRule type="containsText" dxfId="2173" priority="2219" operator="containsText" text="Update not Provided">
      <formula>NOT(ISERROR(SEARCH("Update not Provided",E32)))</formula>
    </cfRule>
    <cfRule type="containsText" dxfId="2172" priority="2220" operator="containsText" text="Not yet due">
      <formula>NOT(ISERROR(SEARCH("Not yet due",E32)))</formula>
    </cfRule>
    <cfRule type="containsText" dxfId="2171" priority="2221" operator="containsText" text="Completed Behind Schedule">
      <formula>NOT(ISERROR(SEARCH("Completed Behind Schedule",E32)))</formula>
    </cfRule>
    <cfRule type="containsText" dxfId="2170" priority="2222" operator="containsText" text="Off Target">
      <formula>NOT(ISERROR(SEARCH("Off Target",E32)))</formula>
    </cfRule>
    <cfRule type="containsText" dxfId="2169" priority="2223" operator="containsText" text="In Danger of Falling Behind Target">
      <formula>NOT(ISERROR(SEARCH("In Danger of Falling Behind Target",E32)))</formula>
    </cfRule>
    <cfRule type="containsText" dxfId="2168" priority="2224" operator="containsText" text="On Track to be Achieved">
      <formula>NOT(ISERROR(SEARCH("On Track to be Achieved",E32)))</formula>
    </cfRule>
    <cfRule type="containsText" dxfId="2167" priority="2225" operator="containsText" text="Fully Achieved">
      <formula>NOT(ISERROR(SEARCH("Fully Achieved",E32)))</formula>
    </cfRule>
    <cfRule type="containsText" dxfId="2166" priority="2226" operator="containsText" text="Fully Achieved">
      <formula>NOT(ISERROR(SEARCH("Fully Achieved",E32)))</formula>
    </cfRule>
    <cfRule type="containsText" dxfId="2165" priority="2227" operator="containsText" text="Fully Achieved">
      <formula>NOT(ISERROR(SEARCH("Fully Achieved",E32)))</formula>
    </cfRule>
    <cfRule type="containsText" dxfId="2164" priority="2228" operator="containsText" text="Deferred">
      <formula>NOT(ISERROR(SEARCH("Deferred",E32)))</formula>
    </cfRule>
    <cfRule type="containsText" dxfId="2163" priority="2229" operator="containsText" text="Deleted">
      <formula>NOT(ISERROR(SEARCH("Deleted",E32)))</formula>
    </cfRule>
    <cfRule type="containsText" dxfId="2162" priority="2230" operator="containsText" text="In Danger of Falling Behind Target">
      <formula>NOT(ISERROR(SEARCH("In Danger of Falling Behind Target",E32)))</formula>
    </cfRule>
    <cfRule type="containsText" dxfId="2161" priority="2231" operator="containsText" text="Not yet due">
      <formula>NOT(ISERROR(SEARCH("Not yet due",E32)))</formula>
    </cfRule>
    <cfRule type="containsText" dxfId="2160" priority="2232" operator="containsText" text="Update not Provided">
      <formula>NOT(ISERROR(SEARCH("Update not Provided",E32)))</formula>
    </cfRule>
  </conditionalFormatting>
  <conditionalFormatting sqref="E35">
    <cfRule type="containsText" dxfId="2159" priority="2161" operator="containsText" text="On track to be achieved">
      <formula>NOT(ISERROR(SEARCH("On track to be achieved",E35)))</formula>
    </cfRule>
    <cfRule type="containsText" dxfId="2158" priority="2162" operator="containsText" text="Deferred">
      <formula>NOT(ISERROR(SEARCH("Deferred",E35)))</formula>
    </cfRule>
    <cfRule type="containsText" dxfId="2157" priority="2163" operator="containsText" text="Deleted">
      <formula>NOT(ISERROR(SEARCH("Deleted",E35)))</formula>
    </cfRule>
    <cfRule type="containsText" dxfId="2156" priority="2164" operator="containsText" text="In Danger of Falling Behind Target">
      <formula>NOT(ISERROR(SEARCH("In Danger of Falling Behind Target",E35)))</formula>
    </cfRule>
    <cfRule type="containsText" dxfId="2155" priority="2165" operator="containsText" text="Not yet due">
      <formula>NOT(ISERROR(SEARCH("Not yet due",E35)))</formula>
    </cfRule>
    <cfRule type="containsText" dxfId="2154" priority="2166" operator="containsText" text="Update not Provided">
      <formula>NOT(ISERROR(SEARCH("Update not Provided",E35)))</formula>
    </cfRule>
    <cfRule type="containsText" dxfId="2153" priority="2167" operator="containsText" text="Not yet due">
      <formula>NOT(ISERROR(SEARCH("Not yet due",E35)))</formula>
    </cfRule>
    <cfRule type="containsText" dxfId="2152" priority="2168" operator="containsText" text="Completed Behind Schedule">
      <formula>NOT(ISERROR(SEARCH("Completed Behind Schedule",E35)))</formula>
    </cfRule>
    <cfRule type="containsText" dxfId="2151" priority="2169" operator="containsText" text="Off Target">
      <formula>NOT(ISERROR(SEARCH("Off Target",E35)))</formula>
    </cfRule>
    <cfRule type="containsText" dxfId="2150" priority="2170" operator="containsText" text="On Track to be Achieved">
      <formula>NOT(ISERROR(SEARCH("On Track to be Achieved",E35)))</formula>
    </cfRule>
    <cfRule type="containsText" dxfId="2149" priority="2171" operator="containsText" text="Fully Achieved">
      <formula>NOT(ISERROR(SEARCH("Fully Achieved",E35)))</formula>
    </cfRule>
    <cfRule type="containsText" dxfId="2148" priority="2172" operator="containsText" text="Not yet due">
      <formula>NOT(ISERROR(SEARCH("Not yet due",E35)))</formula>
    </cfRule>
    <cfRule type="containsText" dxfId="2147" priority="2173" operator="containsText" text="Not Yet Due">
      <formula>NOT(ISERROR(SEARCH("Not Yet Due",E35)))</formula>
    </cfRule>
    <cfRule type="containsText" dxfId="2146" priority="2174" operator="containsText" text="Deferred">
      <formula>NOT(ISERROR(SEARCH("Deferred",E35)))</formula>
    </cfRule>
    <cfRule type="containsText" dxfId="2145" priority="2175" operator="containsText" text="Deleted">
      <formula>NOT(ISERROR(SEARCH("Deleted",E35)))</formula>
    </cfRule>
    <cfRule type="containsText" dxfId="2144" priority="2176" operator="containsText" text="In Danger of Falling Behind Target">
      <formula>NOT(ISERROR(SEARCH("In Danger of Falling Behind Target",E35)))</formula>
    </cfRule>
    <cfRule type="containsText" dxfId="2143" priority="2177" operator="containsText" text="Not yet due">
      <formula>NOT(ISERROR(SEARCH("Not yet due",E35)))</formula>
    </cfRule>
    <cfRule type="containsText" dxfId="2142" priority="2178" operator="containsText" text="Completed Behind Schedule">
      <formula>NOT(ISERROR(SEARCH("Completed Behind Schedule",E35)))</formula>
    </cfRule>
    <cfRule type="containsText" dxfId="2141" priority="2179" operator="containsText" text="Off Target">
      <formula>NOT(ISERROR(SEARCH("Off Target",E35)))</formula>
    </cfRule>
    <cfRule type="containsText" dxfId="2140" priority="2180" operator="containsText" text="In Danger of Falling Behind Target">
      <formula>NOT(ISERROR(SEARCH("In Danger of Falling Behind Target",E35)))</formula>
    </cfRule>
    <cfRule type="containsText" dxfId="2139" priority="2181" operator="containsText" text="On Track to be Achieved">
      <formula>NOT(ISERROR(SEARCH("On Track to be Achieved",E35)))</formula>
    </cfRule>
    <cfRule type="containsText" dxfId="2138" priority="2182" operator="containsText" text="Fully Achieved">
      <formula>NOT(ISERROR(SEARCH("Fully Achieved",E35)))</formula>
    </cfRule>
    <cfRule type="containsText" dxfId="2137" priority="2183" operator="containsText" text="Update not Provided">
      <formula>NOT(ISERROR(SEARCH("Update not Provided",E35)))</formula>
    </cfRule>
    <cfRule type="containsText" dxfId="2136" priority="2184" operator="containsText" text="Not yet due">
      <formula>NOT(ISERROR(SEARCH("Not yet due",E35)))</formula>
    </cfRule>
    <cfRule type="containsText" dxfId="2135" priority="2185" operator="containsText" text="Completed Behind Schedule">
      <formula>NOT(ISERROR(SEARCH("Completed Behind Schedule",E35)))</formula>
    </cfRule>
    <cfRule type="containsText" dxfId="2134" priority="2186" operator="containsText" text="Off Target">
      <formula>NOT(ISERROR(SEARCH("Off Target",E35)))</formula>
    </cfRule>
    <cfRule type="containsText" dxfId="2133" priority="2187" operator="containsText" text="In Danger of Falling Behind Target">
      <formula>NOT(ISERROR(SEARCH("In Danger of Falling Behind Target",E35)))</formula>
    </cfRule>
    <cfRule type="containsText" dxfId="2132" priority="2188" operator="containsText" text="On Track to be Achieved">
      <formula>NOT(ISERROR(SEARCH("On Track to be Achieved",E35)))</formula>
    </cfRule>
    <cfRule type="containsText" dxfId="2131" priority="2189" operator="containsText" text="Fully Achieved">
      <formula>NOT(ISERROR(SEARCH("Fully Achieved",E35)))</formula>
    </cfRule>
    <cfRule type="containsText" dxfId="2130" priority="2190" operator="containsText" text="Fully Achieved">
      <formula>NOT(ISERROR(SEARCH("Fully Achieved",E35)))</formula>
    </cfRule>
    <cfRule type="containsText" dxfId="2129" priority="2191" operator="containsText" text="Fully Achieved">
      <formula>NOT(ISERROR(SEARCH("Fully Achieved",E35)))</formula>
    </cfRule>
    <cfRule type="containsText" dxfId="2128" priority="2192" operator="containsText" text="Deferred">
      <formula>NOT(ISERROR(SEARCH("Deferred",E35)))</formula>
    </cfRule>
    <cfRule type="containsText" dxfId="2127" priority="2193" operator="containsText" text="Deleted">
      <formula>NOT(ISERROR(SEARCH("Deleted",E35)))</formula>
    </cfRule>
    <cfRule type="containsText" dxfId="2126" priority="2194" operator="containsText" text="In Danger of Falling Behind Target">
      <formula>NOT(ISERROR(SEARCH("In Danger of Falling Behind Target",E35)))</formula>
    </cfRule>
    <cfRule type="containsText" dxfId="2125" priority="2195" operator="containsText" text="Not yet due">
      <formula>NOT(ISERROR(SEARCH("Not yet due",E35)))</formula>
    </cfRule>
    <cfRule type="containsText" dxfId="2124" priority="2196" operator="containsText" text="Update not Provided">
      <formula>NOT(ISERROR(SEARCH("Update not Provided",E35)))</formula>
    </cfRule>
  </conditionalFormatting>
  <conditionalFormatting sqref="E38">
    <cfRule type="containsText" dxfId="2123" priority="2125" operator="containsText" text="On track to be achieved">
      <formula>NOT(ISERROR(SEARCH("On track to be achieved",E38)))</formula>
    </cfRule>
    <cfRule type="containsText" dxfId="2122" priority="2126" operator="containsText" text="Deferred">
      <formula>NOT(ISERROR(SEARCH("Deferred",E38)))</formula>
    </cfRule>
    <cfRule type="containsText" dxfId="2121" priority="2127" operator="containsText" text="Deleted">
      <formula>NOT(ISERROR(SEARCH("Deleted",E38)))</formula>
    </cfRule>
    <cfRule type="containsText" dxfId="2120" priority="2128" operator="containsText" text="In Danger of Falling Behind Target">
      <formula>NOT(ISERROR(SEARCH("In Danger of Falling Behind Target",E38)))</formula>
    </cfRule>
    <cfRule type="containsText" dxfId="2119" priority="2129" operator="containsText" text="Not yet due">
      <formula>NOT(ISERROR(SEARCH("Not yet due",E38)))</formula>
    </cfRule>
    <cfRule type="containsText" dxfId="2118" priority="2130" operator="containsText" text="Update not Provided">
      <formula>NOT(ISERROR(SEARCH("Update not Provided",E38)))</formula>
    </cfRule>
    <cfRule type="containsText" dxfId="2117" priority="2131" operator="containsText" text="Not yet due">
      <formula>NOT(ISERROR(SEARCH("Not yet due",E38)))</formula>
    </cfRule>
    <cfRule type="containsText" dxfId="2116" priority="2132" operator="containsText" text="Completed Behind Schedule">
      <formula>NOT(ISERROR(SEARCH("Completed Behind Schedule",E38)))</formula>
    </cfRule>
    <cfRule type="containsText" dxfId="2115" priority="2133" operator="containsText" text="Off Target">
      <formula>NOT(ISERROR(SEARCH("Off Target",E38)))</formula>
    </cfRule>
    <cfRule type="containsText" dxfId="2114" priority="2134" operator="containsText" text="On Track to be Achieved">
      <formula>NOT(ISERROR(SEARCH("On Track to be Achieved",E38)))</formula>
    </cfRule>
    <cfRule type="containsText" dxfId="2113" priority="2135" operator="containsText" text="Fully Achieved">
      <formula>NOT(ISERROR(SEARCH("Fully Achieved",E38)))</formula>
    </cfRule>
    <cfRule type="containsText" dxfId="2112" priority="2136" operator="containsText" text="Not yet due">
      <formula>NOT(ISERROR(SEARCH("Not yet due",E38)))</formula>
    </cfRule>
    <cfRule type="containsText" dxfId="2111" priority="2137" operator="containsText" text="Not Yet Due">
      <formula>NOT(ISERROR(SEARCH("Not Yet Due",E38)))</formula>
    </cfRule>
    <cfRule type="containsText" dxfId="2110" priority="2138" operator="containsText" text="Deferred">
      <formula>NOT(ISERROR(SEARCH("Deferred",E38)))</formula>
    </cfRule>
    <cfRule type="containsText" dxfId="2109" priority="2139" operator="containsText" text="Deleted">
      <formula>NOT(ISERROR(SEARCH("Deleted",E38)))</formula>
    </cfRule>
    <cfRule type="containsText" dxfId="2108" priority="2140" operator="containsText" text="In Danger of Falling Behind Target">
      <formula>NOT(ISERROR(SEARCH("In Danger of Falling Behind Target",E38)))</formula>
    </cfRule>
    <cfRule type="containsText" dxfId="2107" priority="2141" operator="containsText" text="Not yet due">
      <formula>NOT(ISERROR(SEARCH("Not yet due",E38)))</formula>
    </cfRule>
    <cfRule type="containsText" dxfId="2106" priority="2142" operator="containsText" text="Completed Behind Schedule">
      <formula>NOT(ISERROR(SEARCH("Completed Behind Schedule",E38)))</formula>
    </cfRule>
    <cfRule type="containsText" dxfId="2105" priority="2143" operator="containsText" text="Off Target">
      <formula>NOT(ISERROR(SEARCH("Off Target",E38)))</formula>
    </cfRule>
    <cfRule type="containsText" dxfId="2104" priority="2144" operator="containsText" text="In Danger of Falling Behind Target">
      <formula>NOT(ISERROR(SEARCH("In Danger of Falling Behind Target",E38)))</formula>
    </cfRule>
    <cfRule type="containsText" dxfId="2103" priority="2145" operator="containsText" text="On Track to be Achieved">
      <formula>NOT(ISERROR(SEARCH("On Track to be Achieved",E38)))</formula>
    </cfRule>
    <cfRule type="containsText" dxfId="2102" priority="2146" operator="containsText" text="Fully Achieved">
      <formula>NOT(ISERROR(SEARCH("Fully Achieved",E38)))</formula>
    </cfRule>
    <cfRule type="containsText" dxfId="2101" priority="2147" operator="containsText" text="Update not Provided">
      <formula>NOT(ISERROR(SEARCH("Update not Provided",E38)))</formula>
    </cfRule>
    <cfRule type="containsText" dxfId="2100" priority="2148" operator="containsText" text="Not yet due">
      <formula>NOT(ISERROR(SEARCH("Not yet due",E38)))</formula>
    </cfRule>
    <cfRule type="containsText" dxfId="2099" priority="2149" operator="containsText" text="Completed Behind Schedule">
      <formula>NOT(ISERROR(SEARCH("Completed Behind Schedule",E38)))</formula>
    </cfRule>
    <cfRule type="containsText" dxfId="2098" priority="2150" operator="containsText" text="Off Target">
      <formula>NOT(ISERROR(SEARCH("Off Target",E38)))</formula>
    </cfRule>
    <cfRule type="containsText" dxfId="2097" priority="2151" operator="containsText" text="In Danger of Falling Behind Target">
      <formula>NOT(ISERROR(SEARCH("In Danger of Falling Behind Target",E38)))</formula>
    </cfRule>
    <cfRule type="containsText" dxfId="2096" priority="2152" operator="containsText" text="On Track to be Achieved">
      <formula>NOT(ISERROR(SEARCH("On Track to be Achieved",E38)))</formula>
    </cfRule>
    <cfRule type="containsText" dxfId="2095" priority="2153" operator="containsText" text="Fully Achieved">
      <formula>NOT(ISERROR(SEARCH("Fully Achieved",E38)))</formula>
    </cfRule>
    <cfRule type="containsText" dxfId="2094" priority="2154" operator="containsText" text="Fully Achieved">
      <formula>NOT(ISERROR(SEARCH("Fully Achieved",E38)))</formula>
    </cfRule>
    <cfRule type="containsText" dxfId="2093" priority="2155" operator="containsText" text="Fully Achieved">
      <formula>NOT(ISERROR(SEARCH("Fully Achieved",E38)))</formula>
    </cfRule>
    <cfRule type="containsText" dxfId="2092" priority="2156" operator="containsText" text="Deferred">
      <formula>NOT(ISERROR(SEARCH("Deferred",E38)))</formula>
    </cfRule>
    <cfRule type="containsText" dxfId="2091" priority="2157" operator="containsText" text="Deleted">
      <formula>NOT(ISERROR(SEARCH("Deleted",E38)))</formula>
    </cfRule>
    <cfRule type="containsText" dxfId="2090" priority="2158" operator="containsText" text="In Danger of Falling Behind Target">
      <formula>NOT(ISERROR(SEARCH("In Danger of Falling Behind Target",E38)))</formula>
    </cfRule>
    <cfRule type="containsText" dxfId="2089" priority="2159" operator="containsText" text="Not yet due">
      <formula>NOT(ISERROR(SEARCH("Not yet due",E38)))</formula>
    </cfRule>
    <cfRule type="containsText" dxfId="2088" priority="2160" operator="containsText" text="Update not Provided">
      <formula>NOT(ISERROR(SEARCH("Update not Provided",E38)))</formula>
    </cfRule>
  </conditionalFormatting>
  <conditionalFormatting sqref="E41">
    <cfRule type="containsText" dxfId="2087" priority="2089" operator="containsText" text="On track to be achieved">
      <formula>NOT(ISERROR(SEARCH("On track to be achieved",E41)))</formula>
    </cfRule>
    <cfRule type="containsText" dxfId="2086" priority="2090" operator="containsText" text="Deferred">
      <formula>NOT(ISERROR(SEARCH("Deferred",E41)))</formula>
    </cfRule>
    <cfRule type="containsText" dxfId="2085" priority="2091" operator="containsText" text="Deleted">
      <formula>NOT(ISERROR(SEARCH("Deleted",E41)))</formula>
    </cfRule>
    <cfRule type="containsText" dxfId="2084" priority="2092" operator="containsText" text="In Danger of Falling Behind Target">
      <formula>NOT(ISERROR(SEARCH("In Danger of Falling Behind Target",E41)))</formula>
    </cfRule>
    <cfRule type="containsText" dxfId="2083" priority="2093" operator="containsText" text="Not yet due">
      <formula>NOT(ISERROR(SEARCH("Not yet due",E41)))</formula>
    </cfRule>
    <cfRule type="containsText" dxfId="2082" priority="2094" operator="containsText" text="Update not Provided">
      <formula>NOT(ISERROR(SEARCH("Update not Provided",E41)))</formula>
    </cfRule>
    <cfRule type="containsText" dxfId="2081" priority="2095" operator="containsText" text="Not yet due">
      <formula>NOT(ISERROR(SEARCH("Not yet due",E41)))</formula>
    </cfRule>
    <cfRule type="containsText" dxfId="2080" priority="2096" operator="containsText" text="Completed Behind Schedule">
      <formula>NOT(ISERROR(SEARCH("Completed Behind Schedule",E41)))</formula>
    </cfRule>
    <cfRule type="containsText" dxfId="2079" priority="2097" operator="containsText" text="Off Target">
      <formula>NOT(ISERROR(SEARCH("Off Target",E41)))</formula>
    </cfRule>
    <cfRule type="containsText" dxfId="2078" priority="2098" operator="containsText" text="On Track to be Achieved">
      <formula>NOT(ISERROR(SEARCH("On Track to be Achieved",E41)))</formula>
    </cfRule>
    <cfRule type="containsText" dxfId="2077" priority="2099" operator="containsText" text="Fully Achieved">
      <formula>NOT(ISERROR(SEARCH("Fully Achieved",E41)))</formula>
    </cfRule>
    <cfRule type="containsText" dxfId="2076" priority="2100" operator="containsText" text="Not yet due">
      <formula>NOT(ISERROR(SEARCH("Not yet due",E41)))</formula>
    </cfRule>
    <cfRule type="containsText" dxfId="2075" priority="2101" operator="containsText" text="Not Yet Due">
      <formula>NOT(ISERROR(SEARCH("Not Yet Due",E41)))</formula>
    </cfRule>
    <cfRule type="containsText" dxfId="2074" priority="2102" operator="containsText" text="Deferred">
      <formula>NOT(ISERROR(SEARCH("Deferred",E41)))</formula>
    </cfRule>
    <cfRule type="containsText" dxfId="2073" priority="2103" operator="containsText" text="Deleted">
      <formula>NOT(ISERROR(SEARCH("Deleted",E41)))</formula>
    </cfRule>
    <cfRule type="containsText" dxfId="2072" priority="2104" operator="containsText" text="In Danger of Falling Behind Target">
      <formula>NOT(ISERROR(SEARCH("In Danger of Falling Behind Target",E41)))</formula>
    </cfRule>
    <cfRule type="containsText" dxfId="2071" priority="2105" operator="containsText" text="Not yet due">
      <formula>NOT(ISERROR(SEARCH("Not yet due",E41)))</formula>
    </cfRule>
    <cfRule type="containsText" dxfId="2070" priority="2106" operator="containsText" text="Completed Behind Schedule">
      <formula>NOT(ISERROR(SEARCH("Completed Behind Schedule",E41)))</formula>
    </cfRule>
    <cfRule type="containsText" dxfId="2069" priority="2107" operator="containsText" text="Off Target">
      <formula>NOT(ISERROR(SEARCH("Off Target",E41)))</formula>
    </cfRule>
    <cfRule type="containsText" dxfId="2068" priority="2108" operator="containsText" text="In Danger of Falling Behind Target">
      <formula>NOT(ISERROR(SEARCH("In Danger of Falling Behind Target",E41)))</formula>
    </cfRule>
    <cfRule type="containsText" dxfId="2067" priority="2109" operator="containsText" text="On Track to be Achieved">
      <formula>NOT(ISERROR(SEARCH("On Track to be Achieved",E41)))</formula>
    </cfRule>
    <cfRule type="containsText" dxfId="2066" priority="2110" operator="containsText" text="Fully Achieved">
      <formula>NOT(ISERROR(SEARCH("Fully Achieved",E41)))</formula>
    </cfRule>
    <cfRule type="containsText" dxfId="2065" priority="2111" operator="containsText" text="Update not Provided">
      <formula>NOT(ISERROR(SEARCH("Update not Provided",E41)))</formula>
    </cfRule>
    <cfRule type="containsText" dxfId="2064" priority="2112" operator="containsText" text="Not yet due">
      <formula>NOT(ISERROR(SEARCH("Not yet due",E41)))</formula>
    </cfRule>
    <cfRule type="containsText" dxfId="2063" priority="2113" operator="containsText" text="Completed Behind Schedule">
      <formula>NOT(ISERROR(SEARCH("Completed Behind Schedule",E41)))</formula>
    </cfRule>
    <cfRule type="containsText" dxfId="2062" priority="2114" operator="containsText" text="Off Target">
      <formula>NOT(ISERROR(SEARCH("Off Target",E41)))</formula>
    </cfRule>
    <cfRule type="containsText" dxfId="2061" priority="2115" operator="containsText" text="In Danger of Falling Behind Target">
      <formula>NOT(ISERROR(SEARCH("In Danger of Falling Behind Target",E41)))</formula>
    </cfRule>
    <cfRule type="containsText" dxfId="2060" priority="2116" operator="containsText" text="On Track to be Achieved">
      <formula>NOT(ISERROR(SEARCH("On Track to be Achieved",E41)))</formula>
    </cfRule>
    <cfRule type="containsText" dxfId="2059" priority="2117" operator="containsText" text="Fully Achieved">
      <formula>NOT(ISERROR(SEARCH("Fully Achieved",E41)))</formula>
    </cfRule>
    <cfRule type="containsText" dxfId="2058" priority="2118" operator="containsText" text="Fully Achieved">
      <formula>NOT(ISERROR(SEARCH("Fully Achieved",E41)))</formula>
    </cfRule>
    <cfRule type="containsText" dxfId="2057" priority="2119" operator="containsText" text="Fully Achieved">
      <formula>NOT(ISERROR(SEARCH("Fully Achieved",E41)))</formula>
    </cfRule>
    <cfRule type="containsText" dxfId="2056" priority="2120" operator="containsText" text="Deferred">
      <formula>NOT(ISERROR(SEARCH("Deferred",E41)))</formula>
    </cfRule>
    <cfRule type="containsText" dxfId="2055" priority="2121" operator="containsText" text="Deleted">
      <formula>NOT(ISERROR(SEARCH("Deleted",E41)))</formula>
    </cfRule>
    <cfRule type="containsText" dxfId="2054" priority="2122" operator="containsText" text="In Danger of Falling Behind Target">
      <formula>NOT(ISERROR(SEARCH("In Danger of Falling Behind Target",E41)))</formula>
    </cfRule>
    <cfRule type="containsText" dxfId="2053" priority="2123" operator="containsText" text="Not yet due">
      <formula>NOT(ISERROR(SEARCH("Not yet due",E41)))</formula>
    </cfRule>
    <cfRule type="containsText" dxfId="2052" priority="2124" operator="containsText" text="Update not Provided">
      <formula>NOT(ISERROR(SEARCH("Update not Provided",E41)))</formula>
    </cfRule>
  </conditionalFormatting>
  <conditionalFormatting sqref="E44:E47">
    <cfRule type="containsText" dxfId="2051" priority="2053" operator="containsText" text="On track to be achieved">
      <formula>NOT(ISERROR(SEARCH("On track to be achieved",E44)))</formula>
    </cfRule>
    <cfRule type="containsText" dxfId="2050" priority="2054" operator="containsText" text="Deferred">
      <formula>NOT(ISERROR(SEARCH("Deferred",E44)))</formula>
    </cfRule>
    <cfRule type="containsText" dxfId="2049" priority="2055" operator="containsText" text="Deleted">
      <formula>NOT(ISERROR(SEARCH("Deleted",E44)))</formula>
    </cfRule>
    <cfRule type="containsText" dxfId="2048" priority="2056" operator="containsText" text="In Danger of Falling Behind Target">
      <formula>NOT(ISERROR(SEARCH("In Danger of Falling Behind Target",E44)))</formula>
    </cfRule>
    <cfRule type="containsText" dxfId="2047" priority="2057" operator="containsText" text="Not yet due">
      <formula>NOT(ISERROR(SEARCH("Not yet due",E44)))</formula>
    </cfRule>
    <cfRule type="containsText" dxfId="2046" priority="2058" operator="containsText" text="Update not Provided">
      <formula>NOT(ISERROR(SEARCH("Update not Provided",E44)))</formula>
    </cfRule>
    <cfRule type="containsText" dxfId="2045" priority="2059" operator="containsText" text="Not yet due">
      <formula>NOT(ISERROR(SEARCH("Not yet due",E44)))</formula>
    </cfRule>
    <cfRule type="containsText" dxfId="2044" priority="2060" operator="containsText" text="Completed Behind Schedule">
      <formula>NOT(ISERROR(SEARCH("Completed Behind Schedule",E44)))</formula>
    </cfRule>
    <cfRule type="containsText" dxfId="2043" priority="2061" operator="containsText" text="Off Target">
      <formula>NOT(ISERROR(SEARCH("Off Target",E44)))</formula>
    </cfRule>
    <cfRule type="containsText" dxfId="2042" priority="2062" operator="containsText" text="On Track to be Achieved">
      <formula>NOT(ISERROR(SEARCH("On Track to be Achieved",E44)))</formula>
    </cfRule>
    <cfRule type="containsText" dxfId="2041" priority="2063" operator="containsText" text="Fully Achieved">
      <formula>NOT(ISERROR(SEARCH("Fully Achieved",E44)))</formula>
    </cfRule>
    <cfRule type="containsText" dxfId="2040" priority="2064" operator="containsText" text="Not yet due">
      <formula>NOT(ISERROR(SEARCH("Not yet due",E44)))</formula>
    </cfRule>
    <cfRule type="containsText" dxfId="2039" priority="2065" operator="containsText" text="Not Yet Due">
      <formula>NOT(ISERROR(SEARCH("Not Yet Due",E44)))</formula>
    </cfRule>
    <cfRule type="containsText" dxfId="2038" priority="2066" operator="containsText" text="Deferred">
      <formula>NOT(ISERROR(SEARCH("Deferred",E44)))</formula>
    </cfRule>
    <cfRule type="containsText" dxfId="2037" priority="2067" operator="containsText" text="Deleted">
      <formula>NOT(ISERROR(SEARCH("Deleted",E44)))</formula>
    </cfRule>
    <cfRule type="containsText" dxfId="2036" priority="2068" operator="containsText" text="In Danger of Falling Behind Target">
      <formula>NOT(ISERROR(SEARCH("In Danger of Falling Behind Target",E44)))</formula>
    </cfRule>
    <cfRule type="containsText" dxfId="2035" priority="2069" operator="containsText" text="Not yet due">
      <formula>NOT(ISERROR(SEARCH("Not yet due",E44)))</formula>
    </cfRule>
    <cfRule type="containsText" dxfId="2034" priority="2070" operator="containsText" text="Completed Behind Schedule">
      <formula>NOT(ISERROR(SEARCH("Completed Behind Schedule",E44)))</formula>
    </cfRule>
    <cfRule type="containsText" dxfId="2033" priority="2071" operator="containsText" text="Off Target">
      <formula>NOT(ISERROR(SEARCH("Off Target",E44)))</formula>
    </cfRule>
    <cfRule type="containsText" dxfId="2032" priority="2072" operator="containsText" text="In Danger of Falling Behind Target">
      <formula>NOT(ISERROR(SEARCH("In Danger of Falling Behind Target",E44)))</formula>
    </cfRule>
    <cfRule type="containsText" dxfId="2031" priority="2073" operator="containsText" text="On Track to be Achieved">
      <formula>NOT(ISERROR(SEARCH("On Track to be Achieved",E44)))</formula>
    </cfRule>
    <cfRule type="containsText" dxfId="2030" priority="2074" operator="containsText" text="Fully Achieved">
      <formula>NOT(ISERROR(SEARCH("Fully Achieved",E44)))</formula>
    </cfRule>
    <cfRule type="containsText" dxfId="2029" priority="2075" operator="containsText" text="Update not Provided">
      <formula>NOT(ISERROR(SEARCH("Update not Provided",E44)))</formula>
    </cfRule>
    <cfRule type="containsText" dxfId="2028" priority="2076" operator="containsText" text="Not yet due">
      <formula>NOT(ISERROR(SEARCH("Not yet due",E44)))</formula>
    </cfRule>
    <cfRule type="containsText" dxfId="2027" priority="2077" operator="containsText" text="Completed Behind Schedule">
      <formula>NOT(ISERROR(SEARCH("Completed Behind Schedule",E44)))</formula>
    </cfRule>
    <cfRule type="containsText" dxfId="2026" priority="2078" operator="containsText" text="Off Target">
      <formula>NOT(ISERROR(SEARCH("Off Target",E44)))</formula>
    </cfRule>
    <cfRule type="containsText" dxfId="2025" priority="2079" operator="containsText" text="In Danger of Falling Behind Target">
      <formula>NOT(ISERROR(SEARCH("In Danger of Falling Behind Target",E44)))</formula>
    </cfRule>
    <cfRule type="containsText" dxfId="2024" priority="2080" operator="containsText" text="On Track to be Achieved">
      <formula>NOT(ISERROR(SEARCH("On Track to be Achieved",E44)))</formula>
    </cfRule>
    <cfRule type="containsText" dxfId="2023" priority="2081" operator="containsText" text="Fully Achieved">
      <formula>NOT(ISERROR(SEARCH("Fully Achieved",E44)))</formula>
    </cfRule>
    <cfRule type="containsText" dxfId="2022" priority="2082" operator="containsText" text="Fully Achieved">
      <formula>NOT(ISERROR(SEARCH("Fully Achieved",E44)))</formula>
    </cfRule>
    <cfRule type="containsText" dxfId="2021" priority="2083" operator="containsText" text="Fully Achieved">
      <formula>NOT(ISERROR(SEARCH("Fully Achieved",E44)))</formula>
    </cfRule>
    <cfRule type="containsText" dxfId="2020" priority="2084" operator="containsText" text="Deferred">
      <formula>NOT(ISERROR(SEARCH("Deferred",E44)))</formula>
    </cfRule>
    <cfRule type="containsText" dxfId="2019" priority="2085" operator="containsText" text="Deleted">
      <formula>NOT(ISERROR(SEARCH("Deleted",E44)))</formula>
    </cfRule>
    <cfRule type="containsText" dxfId="2018" priority="2086" operator="containsText" text="In Danger of Falling Behind Target">
      <formula>NOT(ISERROR(SEARCH("In Danger of Falling Behind Target",E44)))</formula>
    </cfRule>
    <cfRule type="containsText" dxfId="2017" priority="2087" operator="containsText" text="Not yet due">
      <formula>NOT(ISERROR(SEARCH("Not yet due",E44)))</formula>
    </cfRule>
    <cfRule type="containsText" dxfId="2016" priority="2088" operator="containsText" text="Update not Provided">
      <formula>NOT(ISERROR(SEARCH("Update not Provided",E44)))</formula>
    </cfRule>
  </conditionalFormatting>
  <conditionalFormatting sqref="E49:E50">
    <cfRule type="containsText" dxfId="2015" priority="2017" operator="containsText" text="On track to be achieved">
      <formula>NOT(ISERROR(SEARCH("On track to be achieved",E49)))</formula>
    </cfRule>
    <cfRule type="containsText" dxfId="2014" priority="2018" operator="containsText" text="Deferred">
      <formula>NOT(ISERROR(SEARCH("Deferred",E49)))</formula>
    </cfRule>
    <cfRule type="containsText" dxfId="2013" priority="2019" operator="containsText" text="Deleted">
      <formula>NOT(ISERROR(SEARCH("Deleted",E49)))</formula>
    </cfRule>
    <cfRule type="containsText" dxfId="2012" priority="2020" operator="containsText" text="In Danger of Falling Behind Target">
      <formula>NOT(ISERROR(SEARCH("In Danger of Falling Behind Target",E49)))</formula>
    </cfRule>
    <cfRule type="containsText" dxfId="2011" priority="2021" operator="containsText" text="Not yet due">
      <formula>NOT(ISERROR(SEARCH("Not yet due",E49)))</formula>
    </cfRule>
    <cfRule type="containsText" dxfId="2010" priority="2022" operator="containsText" text="Update not Provided">
      <formula>NOT(ISERROR(SEARCH("Update not Provided",E49)))</formula>
    </cfRule>
    <cfRule type="containsText" dxfId="2009" priority="2023" operator="containsText" text="Not yet due">
      <formula>NOT(ISERROR(SEARCH("Not yet due",E49)))</formula>
    </cfRule>
    <cfRule type="containsText" dxfId="2008" priority="2024" operator="containsText" text="Completed Behind Schedule">
      <formula>NOT(ISERROR(SEARCH("Completed Behind Schedule",E49)))</formula>
    </cfRule>
    <cfRule type="containsText" dxfId="2007" priority="2025" operator="containsText" text="Off Target">
      <formula>NOT(ISERROR(SEARCH("Off Target",E49)))</formula>
    </cfRule>
    <cfRule type="containsText" dxfId="2006" priority="2026" operator="containsText" text="On Track to be Achieved">
      <formula>NOT(ISERROR(SEARCH("On Track to be Achieved",E49)))</formula>
    </cfRule>
    <cfRule type="containsText" dxfId="2005" priority="2027" operator="containsText" text="Fully Achieved">
      <formula>NOT(ISERROR(SEARCH("Fully Achieved",E49)))</formula>
    </cfRule>
    <cfRule type="containsText" dxfId="2004" priority="2028" operator="containsText" text="Not yet due">
      <formula>NOT(ISERROR(SEARCH("Not yet due",E49)))</formula>
    </cfRule>
    <cfRule type="containsText" dxfId="2003" priority="2029" operator="containsText" text="Not Yet Due">
      <formula>NOT(ISERROR(SEARCH("Not Yet Due",E49)))</formula>
    </cfRule>
    <cfRule type="containsText" dxfId="2002" priority="2030" operator="containsText" text="Deferred">
      <formula>NOT(ISERROR(SEARCH("Deferred",E49)))</formula>
    </cfRule>
    <cfRule type="containsText" dxfId="2001" priority="2031" operator="containsText" text="Deleted">
      <formula>NOT(ISERROR(SEARCH("Deleted",E49)))</formula>
    </cfRule>
    <cfRule type="containsText" dxfId="2000" priority="2032" operator="containsText" text="In Danger of Falling Behind Target">
      <formula>NOT(ISERROR(SEARCH("In Danger of Falling Behind Target",E49)))</formula>
    </cfRule>
    <cfRule type="containsText" dxfId="1999" priority="2033" operator="containsText" text="Not yet due">
      <formula>NOT(ISERROR(SEARCH("Not yet due",E49)))</formula>
    </cfRule>
    <cfRule type="containsText" dxfId="1998" priority="2034" operator="containsText" text="Completed Behind Schedule">
      <formula>NOT(ISERROR(SEARCH("Completed Behind Schedule",E49)))</formula>
    </cfRule>
    <cfRule type="containsText" dxfId="1997" priority="2035" operator="containsText" text="Off Target">
      <formula>NOT(ISERROR(SEARCH("Off Target",E49)))</formula>
    </cfRule>
    <cfRule type="containsText" dxfId="1996" priority="2036" operator="containsText" text="In Danger of Falling Behind Target">
      <formula>NOT(ISERROR(SEARCH("In Danger of Falling Behind Target",E49)))</formula>
    </cfRule>
    <cfRule type="containsText" dxfId="1995" priority="2037" operator="containsText" text="On Track to be Achieved">
      <formula>NOT(ISERROR(SEARCH("On Track to be Achieved",E49)))</formula>
    </cfRule>
    <cfRule type="containsText" dxfId="1994" priority="2038" operator="containsText" text="Fully Achieved">
      <formula>NOT(ISERROR(SEARCH("Fully Achieved",E49)))</formula>
    </cfRule>
    <cfRule type="containsText" dxfId="1993" priority="2039" operator="containsText" text="Update not Provided">
      <formula>NOT(ISERROR(SEARCH("Update not Provided",E49)))</formula>
    </cfRule>
    <cfRule type="containsText" dxfId="1992" priority="2040" operator="containsText" text="Not yet due">
      <formula>NOT(ISERROR(SEARCH("Not yet due",E49)))</formula>
    </cfRule>
    <cfRule type="containsText" dxfId="1991" priority="2041" operator="containsText" text="Completed Behind Schedule">
      <formula>NOT(ISERROR(SEARCH("Completed Behind Schedule",E49)))</formula>
    </cfRule>
    <cfRule type="containsText" dxfId="1990" priority="2042" operator="containsText" text="Off Target">
      <formula>NOT(ISERROR(SEARCH("Off Target",E49)))</formula>
    </cfRule>
    <cfRule type="containsText" dxfId="1989" priority="2043" operator="containsText" text="In Danger of Falling Behind Target">
      <formula>NOT(ISERROR(SEARCH("In Danger of Falling Behind Target",E49)))</formula>
    </cfRule>
    <cfRule type="containsText" dxfId="1988" priority="2044" operator="containsText" text="On Track to be Achieved">
      <formula>NOT(ISERROR(SEARCH("On Track to be Achieved",E49)))</formula>
    </cfRule>
    <cfRule type="containsText" dxfId="1987" priority="2045" operator="containsText" text="Fully Achieved">
      <formula>NOT(ISERROR(SEARCH("Fully Achieved",E49)))</formula>
    </cfRule>
    <cfRule type="containsText" dxfId="1986" priority="2046" operator="containsText" text="Fully Achieved">
      <formula>NOT(ISERROR(SEARCH("Fully Achieved",E49)))</formula>
    </cfRule>
    <cfRule type="containsText" dxfId="1985" priority="2047" operator="containsText" text="Fully Achieved">
      <formula>NOT(ISERROR(SEARCH("Fully Achieved",E49)))</formula>
    </cfRule>
    <cfRule type="containsText" dxfId="1984" priority="2048" operator="containsText" text="Deferred">
      <formula>NOT(ISERROR(SEARCH("Deferred",E49)))</formula>
    </cfRule>
    <cfRule type="containsText" dxfId="1983" priority="2049" operator="containsText" text="Deleted">
      <formula>NOT(ISERROR(SEARCH("Deleted",E49)))</formula>
    </cfRule>
    <cfRule type="containsText" dxfId="1982" priority="2050" operator="containsText" text="In Danger of Falling Behind Target">
      <formula>NOT(ISERROR(SEARCH("In Danger of Falling Behind Target",E49)))</formula>
    </cfRule>
    <cfRule type="containsText" dxfId="1981" priority="2051" operator="containsText" text="Not yet due">
      <formula>NOT(ISERROR(SEARCH("Not yet due",E49)))</formula>
    </cfRule>
    <cfRule type="containsText" dxfId="1980" priority="2052" operator="containsText" text="Update not Provided">
      <formula>NOT(ISERROR(SEARCH("Update not Provided",E49)))</formula>
    </cfRule>
  </conditionalFormatting>
  <conditionalFormatting sqref="E52:E54">
    <cfRule type="containsText" dxfId="1979" priority="1981" operator="containsText" text="On track to be achieved">
      <formula>NOT(ISERROR(SEARCH("On track to be achieved",E52)))</formula>
    </cfRule>
    <cfRule type="containsText" dxfId="1978" priority="1982" operator="containsText" text="Deferred">
      <formula>NOT(ISERROR(SEARCH("Deferred",E52)))</formula>
    </cfRule>
    <cfRule type="containsText" dxfId="1977" priority="1983" operator="containsText" text="Deleted">
      <formula>NOT(ISERROR(SEARCH("Deleted",E52)))</formula>
    </cfRule>
    <cfRule type="containsText" dxfId="1976" priority="1984" operator="containsText" text="In Danger of Falling Behind Target">
      <formula>NOT(ISERROR(SEARCH("In Danger of Falling Behind Target",E52)))</formula>
    </cfRule>
    <cfRule type="containsText" dxfId="1975" priority="1985" operator="containsText" text="Not yet due">
      <formula>NOT(ISERROR(SEARCH("Not yet due",E52)))</formula>
    </cfRule>
    <cfRule type="containsText" dxfId="1974" priority="1986" operator="containsText" text="Update not Provided">
      <formula>NOT(ISERROR(SEARCH("Update not Provided",E52)))</formula>
    </cfRule>
    <cfRule type="containsText" dxfId="1973" priority="1987" operator="containsText" text="Not yet due">
      <formula>NOT(ISERROR(SEARCH("Not yet due",E52)))</formula>
    </cfRule>
    <cfRule type="containsText" dxfId="1972" priority="1988" operator="containsText" text="Completed Behind Schedule">
      <formula>NOT(ISERROR(SEARCH("Completed Behind Schedule",E52)))</formula>
    </cfRule>
    <cfRule type="containsText" dxfId="1971" priority="1989" operator="containsText" text="Off Target">
      <formula>NOT(ISERROR(SEARCH("Off Target",E52)))</formula>
    </cfRule>
    <cfRule type="containsText" dxfId="1970" priority="1990" operator="containsText" text="On Track to be Achieved">
      <formula>NOT(ISERROR(SEARCH("On Track to be Achieved",E52)))</formula>
    </cfRule>
    <cfRule type="containsText" dxfId="1969" priority="1991" operator="containsText" text="Fully Achieved">
      <formula>NOT(ISERROR(SEARCH("Fully Achieved",E52)))</formula>
    </cfRule>
    <cfRule type="containsText" dxfId="1968" priority="1992" operator="containsText" text="Not yet due">
      <formula>NOT(ISERROR(SEARCH("Not yet due",E52)))</formula>
    </cfRule>
    <cfRule type="containsText" dxfId="1967" priority="1993" operator="containsText" text="Not Yet Due">
      <formula>NOT(ISERROR(SEARCH("Not Yet Due",E52)))</formula>
    </cfRule>
    <cfRule type="containsText" dxfId="1966" priority="1994" operator="containsText" text="Deferred">
      <formula>NOT(ISERROR(SEARCH("Deferred",E52)))</formula>
    </cfRule>
    <cfRule type="containsText" dxfId="1965" priority="1995" operator="containsText" text="Deleted">
      <formula>NOT(ISERROR(SEARCH("Deleted",E52)))</formula>
    </cfRule>
    <cfRule type="containsText" dxfId="1964" priority="1996" operator="containsText" text="In Danger of Falling Behind Target">
      <formula>NOT(ISERROR(SEARCH("In Danger of Falling Behind Target",E52)))</formula>
    </cfRule>
    <cfRule type="containsText" dxfId="1963" priority="1997" operator="containsText" text="Not yet due">
      <formula>NOT(ISERROR(SEARCH("Not yet due",E52)))</formula>
    </cfRule>
    <cfRule type="containsText" dxfId="1962" priority="1998" operator="containsText" text="Completed Behind Schedule">
      <formula>NOT(ISERROR(SEARCH("Completed Behind Schedule",E52)))</formula>
    </cfRule>
    <cfRule type="containsText" dxfId="1961" priority="1999" operator="containsText" text="Off Target">
      <formula>NOT(ISERROR(SEARCH("Off Target",E52)))</formula>
    </cfRule>
    <cfRule type="containsText" dxfId="1960" priority="2000" operator="containsText" text="In Danger of Falling Behind Target">
      <formula>NOT(ISERROR(SEARCH("In Danger of Falling Behind Target",E52)))</formula>
    </cfRule>
    <cfRule type="containsText" dxfId="1959" priority="2001" operator="containsText" text="On Track to be Achieved">
      <formula>NOT(ISERROR(SEARCH("On Track to be Achieved",E52)))</formula>
    </cfRule>
    <cfRule type="containsText" dxfId="1958" priority="2002" operator="containsText" text="Fully Achieved">
      <formula>NOT(ISERROR(SEARCH("Fully Achieved",E52)))</formula>
    </cfRule>
    <cfRule type="containsText" dxfId="1957" priority="2003" operator="containsText" text="Update not Provided">
      <formula>NOT(ISERROR(SEARCH("Update not Provided",E52)))</formula>
    </cfRule>
    <cfRule type="containsText" dxfId="1956" priority="2004" operator="containsText" text="Not yet due">
      <formula>NOT(ISERROR(SEARCH("Not yet due",E52)))</formula>
    </cfRule>
    <cfRule type="containsText" dxfId="1955" priority="2005" operator="containsText" text="Completed Behind Schedule">
      <formula>NOT(ISERROR(SEARCH("Completed Behind Schedule",E52)))</formula>
    </cfRule>
    <cfRule type="containsText" dxfId="1954" priority="2006" operator="containsText" text="Off Target">
      <formula>NOT(ISERROR(SEARCH("Off Target",E52)))</formula>
    </cfRule>
    <cfRule type="containsText" dxfId="1953" priority="2007" operator="containsText" text="In Danger of Falling Behind Target">
      <formula>NOT(ISERROR(SEARCH("In Danger of Falling Behind Target",E52)))</formula>
    </cfRule>
    <cfRule type="containsText" dxfId="1952" priority="2008" operator="containsText" text="On Track to be Achieved">
      <formula>NOT(ISERROR(SEARCH("On Track to be Achieved",E52)))</formula>
    </cfRule>
    <cfRule type="containsText" dxfId="1951" priority="2009" operator="containsText" text="Fully Achieved">
      <formula>NOT(ISERROR(SEARCH("Fully Achieved",E52)))</formula>
    </cfRule>
    <cfRule type="containsText" dxfId="1950" priority="2010" operator="containsText" text="Fully Achieved">
      <formula>NOT(ISERROR(SEARCH("Fully Achieved",E52)))</formula>
    </cfRule>
    <cfRule type="containsText" dxfId="1949" priority="2011" operator="containsText" text="Fully Achieved">
      <formula>NOT(ISERROR(SEARCH("Fully Achieved",E52)))</formula>
    </cfRule>
    <cfRule type="containsText" dxfId="1948" priority="2012" operator="containsText" text="Deferred">
      <formula>NOT(ISERROR(SEARCH("Deferred",E52)))</formula>
    </cfRule>
    <cfRule type="containsText" dxfId="1947" priority="2013" operator="containsText" text="Deleted">
      <formula>NOT(ISERROR(SEARCH("Deleted",E52)))</formula>
    </cfRule>
    <cfRule type="containsText" dxfId="1946" priority="2014" operator="containsText" text="In Danger of Falling Behind Target">
      <formula>NOT(ISERROR(SEARCH("In Danger of Falling Behind Target",E52)))</formula>
    </cfRule>
    <cfRule type="containsText" dxfId="1945" priority="2015" operator="containsText" text="Not yet due">
      <formula>NOT(ISERROR(SEARCH("Not yet due",E52)))</formula>
    </cfRule>
    <cfRule type="containsText" dxfId="1944" priority="2016" operator="containsText" text="Update not Provided">
      <formula>NOT(ISERROR(SEARCH("Update not Provided",E52)))</formula>
    </cfRule>
  </conditionalFormatting>
  <conditionalFormatting sqref="E56:E61">
    <cfRule type="containsText" dxfId="1943" priority="1945" operator="containsText" text="On track to be achieved">
      <formula>NOT(ISERROR(SEARCH("On track to be achieved",E56)))</formula>
    </cfRule>
    <cfRule type="containsText" dxfId="1942" priority="1946" operator="containsText" text="Deferred">
      <formula>NOT(ISERROR(SEARCH("Deferred",E56)))</formula>
    </cfRule>
    <cfRule type="containsText" dxfId="1941" priority="1947" operator="containsText" text="Deleted">
      <formula>NOT(ISERROR(SEARCH("Deleted",E56)))</formula>
    </cfRule>
    <cfRule type="containsText" dxfId="1940" priority="1948" operator="containsText" text="In Danger of Falling Behind Target">
      <formula>NOT(ISERROR(SEARCH("In Danger of Falling Behind Target",E56)))</formula>
    </cfRule>
    <cfRule type="containsText" dxfId="1939" priority="1949" operator="containsText" text="Not yet due">
      <formula>NOT(ISERROR(SEARCH("Not yet due",E56)))</formula>
    </cfRule>
    <cfRule type="containsText" dxfId="1938" priority="1950" operator="containsText" text="Update not Provided">
      <formula>NOT(ISERROR(SEARCH("Update not Provided",E56)))</formula>
    </cfRule>
    <cfRule type="containsText" dxfId="1937" priority="1951" operator="containsText" text="Not yet due">
      <formula>NOT(ISERROR(SEARCH("Not yet due",E56)))</formula>
    </cfRule>
    <cfRule type="containsText" dxfId="1936" priority="1952" operator="containsText" text="Completed Behind Schedule">
      <formula>NOT(ISERROR(SEARCH("Completed Behind Schedule",E56)))</formula>
    </cfRule>
    <cfRule type="containsText" dxfId="1935" priority="1953" operator="containsText" text="Off Target">
      <formula>NOT(ISERROR(SEARCH("Off Target",E56)))</formula>
    </cfRule>
    <cfRule type="containsText" dxfId="1934" priority="1954" operator="containsText" text="On Track to be Achieved">
      <formula>NOT(ISERROR(SEARCH("On Track to be Achieved",E56)))</formula>
    </cfRule>
    <cfRule type="containsText" dxfId="1933" priority="1955" operator="containsText" text="Fully Achieved">
      <formula>NOT(ISERROR(SEARCH("Fully Achieved",E56)))</formula>
    </cfRule>
    <cfRule type="containsText" dxfId="1932" priority="1956" operator="containsText" text="Not yet due">
      <formula>NOT(ISERROR(SEARCH("Not yet due",E56)))</formula>
    </cfRule>
    <cfRule type="containsText" dxfId="1931" priority="1957" operator="containsText" text="Not Yet Due">
      <formula>NOT(ISERROR(SEARCH("Not Yet Due",E56)))</formula>
    </cfRule>
    <cfRule type="containsText" dxfId="1930" priority="1958" operator="containsText" text="Deferred">
      <formula>NOT(ISERROR(SEARCH("Deferred",E56)))</formula>
    </cfRule>
    <cfRule type="containsText" dxfId="1929" priority="1959" operator="containsText" text="Deleted">
      <formula>NOT(ISERROR(SEARCH("Deleted",E56)))</formula>
    </cfRule>
    <cfRule type="containsText" dxfId="1928" priority="1960" operator="containsText" text="In Danger of Falling Behind Target">
      <formula>NOT(ISERROR(SEARCH("In Danger of Falling Behind Target",E56)))</formula>
    </cfRule>
    <cfRule type="containsText" dxfId="1927" priority="1961" operator="containsText" text="Not yet due">
      <formula>NOT(ISERROR(SEARCH("Not yet due",E56)))</formula>
    </cfRule>
    <cfRule type="containsText" dxfId="1926" priority="1962" operator="containsText" text="Completed Behind Schedule">
      <formula>NOT(ISERROR(SEARCH("Completed Behind Schedule",E56)))</formula>
    </cfRule>
    <cfRule type="containsText" dxfId="1925" priority="1963" operator="containsText" text="Off Target">
      <formula>NOT(ISERROR(SEARCH("Off Target",E56)))</formula>
    </cfRule>
    <cfRule type="containsText" dxfId="1924" priority="1964" operator="containsText" text="In Danger of Falling Behind Target">
      <formula>NOT(ISERROR(SEARCH("In Danger of Falling Behind Target",E56)))</formula>
    </cfRule>
    <cfRule type="containsText" dxfId="1923" priority="1965" operator="containsText" text="On Track to be Achieved">
      <formula>NOT(ISERROR(SEARCH("On Track to be Achieved",E56)))</formula>
    </cfRule>
    <cfRule type="containsText" dxfId="1922" priority="1966" operator="containsText" text="Fully Achieved">
      <formula>NOT(ISERROR(SEARCH("Fully Achieved",E56)))</formula>
    </cfRule>
    <cfRule type="containsText" dxfId="1921" priority="1967" operator="containsText" text="Update not Provided">
      <formula>NOT(ISERROR(SEARCH("Update not Provided",E56)))</formula>
    </cfRule>
    <cfRule type="containsText" dxfId="1920" priority="1968" operator="containsText" text="Not yet due">
      <formula>NOT(ISERROR(SEARCH("Not yet due",E56)))</formula>
    </cfRule>
    <cfRule type="containsText" dxfId="1919" priority="1969" operator="containsText" text="Completed Behind Schedule">
      <formula>NOT(ISERROR(SEARCH("Completed Behind Schedule",E56)))</formula>
    </cfRule>
    <cfRule type="containsText" dxfId="1918" priority="1970" operator="containsText" text="Off Target">
      <formula>NOT(ISERROR(SEARCH("Off Target",E56)))</formula>
    </cfRule>
    <cfRule type="containsText" dxfId="1917" priority="1971" operator="containsText" text="In Danger of Falling Behind Target">
      <formula>NOT(ISERROR(SEARCH("In Danger of Falling Behind Target",E56)))</formula>
    </cfRule>
    <cfRule type="containsText" dxfId="1916" priority="1972" operator="containsText" text="On Track to be Achieved">
      <formula>NOT(ISERROR(SEARCH("On Track to be Achieved",E56)))</formula>
    </cfRule>
    <cfRule type="containsText" dxfId="1915" priority="1973" operator="containsText" text="Fully Achieved">
      <formula>NOT(ISERROR(SEARCH("Fully Achieved",E56)))</formula>
    </cfRule>
    <cfRule type="containsText" dxfId="1914" priority="1974" operator="containsText" text="Fully Achieved">
      <formula>NOT(ISERROR(SEARCH("Fully Achieved",E56)))</formula>
    </cfRule>
    <cfRule type="containsText" dxfId="1913" priority="1975" operator="containsText" text="Fully Achieved">
      <formula>NOT(ISERROR(SEARCH("Fully Achieved",E56)))</formula>
    </cfRule>
    <cfRule type="containsText" dxfId="1912" priority="1976" operator="containsText" text="Deferred">
      <formula>NOT(ISERROR(SEARCH("Deferred",E56)))</formula>
    </cfRule>
    <cfRule type="containsText" dxfId="1911" priority="1977" operator="containsText" text="Deleted">
      <formula>NOT(ISERROR(SEARCH("Deleted",E56)))</formula>
    </cfRule>
    <cfRule type="containsText" dxfId="1910" priority="1978" operator="containsText" text="In Danger of Falling Behind Target">
      <formula>NOT(ISERROR(SEARCH("In Danger of Falling Behind Target",E56)))</formula>
    </cfRule>
    <cfRule type="containsText" dxfId="1909" priority="1979" operator="containsText" text="Not yet due">
      <formula>NOT(ISERROR(SEARCH("Not yet due",E56)))</formula>
    </cfRule>
    <cfRule type="containsText" dxfId="1908" priority="1980" operator="containsText" text="Update not Provided">
      <formula>NOT(ISERROR(SEARCH("Update not Provided",E56)))</formula>
    </cfRule>
  </conditionalFormatting>
  <conditionalFormatting sqref="E64:E70">
    <cfRule type="containsText" dxfId="1907" priority="1909" operator="containsText" text="On track to be achieved">
      <formula>NOT(ISERROR(SEARCH("On track to be achieved",E64)))</formula>
    </cfRule>
    <cfRule type="containsText" dxfId="1906" priority="1910" operator="containsText" text="Deferred">
      <formula>NOT(ISERROR(SEARCH("Deferred",E64)))</formula>
    </cfRule>
    <cfRule type="containsText" dxfId="1905" priority="1911" operator="containsText" text="Deleted">
      <formula>NOT(ISERROR(SEARCH("Deleted",E64)))</formula>
    </cfRule>
    <cfRule type="containsText" dxfId="1904" priority="1912" operator="containsText" text="In Danger of Falling Behind Target">
      <formula>NOT(ISERROR(SEARCH("In Danger of Falling Behind Target",E64)))</formula>
    </cfRule>
    <cfRule type="containsText" dxfId="1903" priority="1913" operator="containsText" text="Not yet due">
      <formula>NOT(ISERROR(SEARCH("Not yet due",E64)))</formula>
    </cfRule>
    <cfRule type="containsText" dxfId="1902" priority="1914" operator="containsText" text="Update not Provided">
      <formula>NOT(ISERROR(SEARCH("Update not Provided",E64)))</formula>
    </cfRule>
    <cfRule type="containsText" dxfId="1901" priority="1915" operator="containsText" text="Not yet due">
      <formula>NOT(ISERROR(SEARCH("Not yet due",E64)))</formula>
    </cfRule>
    <cfRule type="containsText" dxfId="1900" priority="1916" operator="containsText" text="Completed Behind Schedule">
      <formula>NOT(ISERROR(SEARCH("Completed Behind Schedule",E64)))</formula>
    </cfRule>
    <cfRule type="containsText" dxfId="1899" priority="1917" operator="containsText" text="Off Target">
      <formula>NOT(ISERROR(SEARCH("Off Target",E64)))</formula>
    </cfRule>
    <cfRule type="containsText" dxfId="1898" priority="1918" operator="containsText" text="On Track to be Achieved">
      <formula>NOT(ISERROR(SEARCH("On Track to be Achieved",E64)))</formula>
    </cfRule>
    <cfRule type="containsText" dxfId="1897" priority="1919" operator="containsText" text="Fully Achieved">
      <formula>NOT(ISERROR(SEARCH("Fully Achieved",E64)))</formula>
    </cfRule>
    <cfRule type="containsText" dxfId="1896" priority="1920" operator="containsText" text="Not yet due">
      <formula>NOT(ISERROR(SEARCH("Not yet due",E64)))</formula>
    </cfRule>
    <cfRule type="containsText" dxfId="1895" priority="1921" operator="containsText" text="Not Yet Due">
      <formula>NOT(ISERROR(SEARCH("Not Yet Due",E64)))</formula>
    </cfRule>
    <cfRule type="containsText" dxfId="1894" priority="1922" operator="containsText" text="Deferred">
      <formula>NOT(ISERROR(SEARCH("Deferred",E64)))</formula>
    </cfRule>
    <cfRule type="containsText" dxfId="1893" priority="1923" operator="containsText" text="Deleted">
      <formula>NOT(ISERROR(SEARCH("Deleted",E64)))</formula>
    </cfRule>
    <cfRule type="containsText" dxfId="1892" priority="1924" operator="containsText" text="In Danger of Falling Behind Target">
      <formula>NOT(ISERROR(SEARCH("In Danger of Falling Behind Target",E64)))</formula>
    </cfRule>
    <cfRule type="containsText" dxfId="1891" priority="1925" operator="containsText" text="Not yet due">
      <formula>NOT(ISERROR(SEARCH("Not yet due",E64)))</formula>
    </cfRule>
    <cfRule type="containsText" dxfId="1890" priority="1926" operator="containsText" text="Completed Behind Schedule">
      <formula>NOT(ISERROR(SEARCH("Completed Behind Schedule",E64)))</formula>
    </cfRule>
    <cfRule type="containsText" dxfId="1889" priority="1927" operator="containsText" text="Off Target">
      <formula>NOT(ISERROR(SEARCH("Off Target",E64)))</formula>
    </cfRule>
    <cfRule type="containsText" dxfId="1888" priority="1928" operator="containsText" text="In Danger of Falling Behind Target">
      <formula>NOT(ISERROR(SEARCH("In Danger of Falling Behind Target",E64)))</formula>
    </cfRule>
    <cfRule type="containsText" dxfId="1887" priority="1929" operator="containsText" text="On Track to be Achieved">
      <formula>NOT(ISERROR(SEARCH("On Track to be Achieved",E64)))</formula>
    </cfRule>
    <cfRule type="containsText" dxfId="1886" priority="1930" operator="containsText" text="Fully Achieved">
      <formula>NOT(ISERROR(SEARCH("Fully Achieved",E64)))</formula>
    </cfRule>
    <cfRule type="containsText" dxfId="1885" priority="1931" operator="containsText" text="Update not Provided">
      <formula>NOT(ISERROR(SEARCH("Update not Provided",E64)))</formula>
    </cfRule>
    <cfRule type="containsText" dxfId="1884" priority="1932" operator="containsText" text="Not yet due">
      <formula>NOT(ISERROR(SEARCH("Not yet due",E64)))</formula>
    </cfRule>
    <cfRule type="containsText" dxfId="1883" priority="1933" operator="containsText" text="Completed Behind Schedule">
      <formula>NOT(ISERROR(SEARCH("Completed Behind Schedule",E64)))</formula>
    </cfRule>
    <cfRule type="containsText" dxfId="1882" priority="1934" operator="containsText" text="Off Target">
      <formula>NOT(ISERROR(SEARCH("Off Target",E64)))</formula>
    </cfRule>
    <cfRule type="containsText" dxfId="1881" priority="1935" operator="containsText" text="In Danger of Falling Behind Target">
      <formula>NOT(ISERROR(SEARCH("In Danger of Falling Behind Target",E64)))</formula>
    </cfRule>
    <cfRule type="containsText" dxfId="1880" priority="1936" operator="containsText" text="On Track to be Achieved">
      <formula>NOT(ISERROR(SEARCH("On Track to be Achieved",E64)))</formula>
    </cfRule>
    <cfRule type="containsText" dxfId="1879" priority="1937" operator="containsText" text="Fully Achieved">
      <formula>NOT(ISERROR(SEARCH("Fully Achieved",E64)))</formula>
    </cfRule>
    <cfRule type="containsText" dxfId="1878" priority="1938" operator="containsText" text="Fully Achieved">
      <formula>NOT(ISERROR(SEARCH("Fully Achieved",E64)))</formula>
    </cfRule>
    <cfRule type="containsText" dxfId="1877" priority="1939" operator="containsText" text="Fully Achieved">
      <formula>NOT(ISERROR(SEARCH("Fully Achieved",E64)))</formula>
    </cfRule>
    <cfRule type="containsText" dxfId="1876" priority="1940" operator="containsText" text="Deferred">
      <formula>NOT(ISERROR(SEARCH("Deferred",E64)))</formula>
    </cfRule>
    <cfRule type="containsText" dxfId="1875" priority="1941" operator="containsText" text="Deleted">
      <formula>NOT(ISERROR(SEARCH("Deleted",E64)))</formula>
    </cfRule>
    <cfRule type="containsText" dxfId="1874" priority="1942" operator="containsText" text="In Danger of Falling Behind Target">
      <formula>NOT(ISERROR(SEARCH("In Danger of Falling Behind Target",E64)))</formula>
    </cfRule>
    <cfRule type="containsText" dxfId="1873" priority="1943" operator="containsText" text="Not yet due">
      <formula>NOT(ISERROR(SEARCH("Not yet due",E64)))</formula>
    </cfRule>
    <cfRule type="containsText" dxfId="1872" priority="1944" operator="containsText" text="Update not Provided">
      <formula>NOT(ISERROR(SEARCH("Update not Provided",E64)))</formula>
    </cfRule>
  </conditionalFormatting>
  <conditionalFormatting sqref="E75">
    <cfRule type="containsText" dxfId="1871" priority="1873" operator="containsText" text="On track to be achieved">
      <formula>NOT(ISERROR(SEARCH("On track to be achieved",E75)))</formula>
    </cfRule>
    <cfRule type="containsText" dxfId="1870" priority="1874" operator="containsText" text="Deferred">
      <formula>NOT(ISERROR(SEARCH("Deferred",E75)))</formula>
    </cfRule>
    <cfRule type="containsText" dxfId="1869" priority="1875" operator="containsText" text="Deleted">
      <formula>NOT(ISERROR(SEARCH("Deleted",E75)))</formula>
    </cfRule>
    <cfRule type="containsText" dxfId="1868" priority="1876" operator="containsText" text="In Danger of Falling Behind Target">
      <formula>NOT(ISERROR(SEARCH("In Danger of Falling Behind Target",E75)))</formula>
    </cfRule>
    <cfRule type="containsText" dxfId="1867" priority="1877" operator="containsText" text="Not yet due">
      <formula>NOT(ISERROR(SEARCH("Not yet due",E75)))</formula>
    </cfRule>
    <cfRule type="containsText" dxfId="1866" priority="1878" operator="containsText" text="Update not Provided">
      <formula>NOT(ISERROR(SEARCH("Update not Provided",E75)))</formula>
    </cfRule>
    <cfRule type="containsText" dxfId="1865" priority="1879" operator="containsText" text="Not yet due">
      <formula>NOT(ISERROR(SEARCH("Not yet due",E75)))</formula>
    </cfRule>
    <cfRule type="containsText" dxfId="1864" priority="1880" operator="containsText" text="Completed Behind Schedule">
      <formula>NOT(ISERROR(SEARCH("Completed Behind Schedule",E75)))</formula>
    </cfRule>
    <cfRule type="containsText" dxfId="1863" priority="1881" operator="containsText" text="Off Target">
      <formula>NOT(ISERROR(SEARCH("Off Target",E75)))</formula>
    </cfRule>
    <cfRule type="containsText" dxfId="1862" priority="1882" operator="containsText" text="On Track to be Achieved">
      <formula>NOT(ISERROR(SEARCH("On Track to be Achieved",E75)))</formula>
    </cfRule>
    <cfRule type="containsText" dxfId="1861" priority="1883" operator="containsText" text="Fully Achieved">
      <formula>NOT(ISERROR(SEARCH("Fully Achieved",E75)))</formula>
    </cfRule>
    <cfRule type="containsText" dxfId="1860" priority="1884" operator="containsText" text="Not yet due">
      <formula>NOT(ISERROR(SEARCH("Not yet due",E75)))</formula>
    </cfRule>
    <cfRule type="containsText" dxfId="1859" priority="1885" operator="containsText" text="Not Yet Due">
      <formula>NOT(ISERROR(SEARCH("Not Yet Due",E75)))</formula>
    </cfRule>
    <cfRule type="containsText" dxfId="1858" priority="1886" operator="containsText" text="Deferred">
      <formula>NOT(ISERROR(SEARCH("Deferred",E75)))</formula>
    </cfRule>
    <cfRule type="containsText" dxfId="1857" priority="1887" operator="containsText" text="Deleted">
      <formula>NOT(ISERROR(SEARCH("Deleted",E75)))</formula>
    </cfRule>
    <cfRule type="containsText" dxfId="1856" priority="1888" operator="containsText" text="In Danger of Falling Behind Target">
      <formula>NOT(ISERROR(SEARCH("In Danger of Falling Behind Target",E75)))</formula>
    </cfRule>
    <cfRule type="containsText" dxfId="1855" priority="1889" operator="containsText" text="Not yet due">
      <formula>NOT(ISERROR(SEARCH("Not yet due",E75)))</formula>
    </cfRule>
    <cfRule type="containsText" dxfId="1854" priority="1890" operator="containsText" text="Completed Behind Schedule">
      <formula>NOT(ISERROR(SEARCH("Completed Behind Schedule",E75)))</formula>
    </cfRule>
    <cfRule type="containsText" dxfId="1853" priority="1891" operator="containsText" text="Off Target">
      <formula>NOT(ISERROR(SEARCH("Off Target",E75)))</formula>
    </cfRule>
    <cfRule type="containsText" dxfId="1852" priority="1892" operator="containsText" text="In Danger of Falling Behind Target">
      <formula>NOT(ISERROR(SEARCH("In Danger of Falling Behind Target",E75)))</formula>
    </cfRule>
    <cfRule type="containsText" dxfId="1851" priority="1893" operator="containsText" text="On Track to be Achieved">
      <formula>NOT(ISERROR(SEARCH("On Track to be Achieved",E75)))</formula>
    </cfRule>
    <cfRule type="containsText" dxfId="1850" priority="1894" operator="containsText" text="Fully Achieved">
      <formula>NOT(ISERROR(SEARCH("Fully Achieved",E75)))</formula>
    </cfRule>
    <cfRule type="containsText" dxfId="1849" priority="1895" operator="containsText" text="Update not Provided">
      <formula>NOT(ISERROR(SEARCH("Update not Provided",E75)))</formula>
    </cfRule>
    <cfRule type="containsText" dxfId="1848" priority="1896" operator="containsText" text="Not yet due">
      <formula>NOT(ISERROR(SEARCH("Not yet due",E75)))</formula>
    </cfRule>
    <cfRule type="containsText" dxfId="1847" priority="1897" operator="containsText" text="Completed Behind Schedule">
      <formula>NOT(ISERROR(SEARCH("Completed Behind Schedule",E75)))</formula>
    </cfRule>
    <cfRule type="containsText" dxfId="1846" priority="1898" operator="containsText" text="Off Target">
      <formula>NOT(ISERROR(SEARCH("Off Target",E75)))</formula>
    </cfRule>
    <cfRule type="containsText" dxfId="1845" priority="1899" operator="containsText" text="In Danger of Falling Behind Target">
      <formula>NOT(ISERROR(SEARCH("In Danger of Falling Behind Target",E75)))</formula>
    </cfRule>
    <cfRule type="containsText" dxfId="1844" priority="1900" operator="containsText" text="On Track to be Achieved">
      <formula>NOT(ISERROR(SEARCH("On Track to be Achieved",E75)))</formula>
    </cfRule>
    <cfRule type="containsText" dxfId="1843" priority="1901" operator="containsText" text="Fully Achieved">
      <formula>NOT(ISERROR(SEARCH("Fully Achieved",E75)))</formula>
    </cfRule>
    <cfRule type="containsText" dxfId="1842" priority="1902" operator="containsText" text="Fully Achieved">
      <formula>NOT(ISERROR(SEARCH("Fully Achieved",E75)))</formula>
    </cfRule>
    <cfRule type="containsText" dxfId="1841" priority="1903" operator="containsText" text="Fully Achieved">
      <formula>NOT(ISERROR(SEARCH("Fully Achieved",E75)))</formula>
    </cfRule>
    <cfRule type="containsText" dxfId="1840" priority="1904" operator="containsText" text="Deferred">
      <formula>NOT(ISERROR(SEARCH("Deferred",E75)))</formula>
    </cfRule>
    <cfRule type="containsText" dxfId="1839" priority="1905" operator="containsText" text="Deleted">
      <formula>NOT(ISERROR(SEARCH("Deleted",E75)))</formula>
    </cfRule>
    <cfRule type="containsText" dxfId="1838" priority="1906" operator="containsText" text="In Danger of Falling Behind Target">
      <formula>NOT(ISERROR(SEARCH("In Danger of Falling Behind Target",E75)))</formula>
    </cfRule>
    <cfRule type="containsText" dxfId="1837" priority="1907" operator="containsText" text="Not yet due">
      <formula>NOT(ISERROR(SEARCH("Not yet due",E75)))</formula>
    </cfRule>
    <cfRule type="containsText" dxfId="1836" priority="1908" operator="containsText" text="Update not Provided">
      <formula>NOT(ISERROR(SEARCH("Update not Provided",E75)))</formula>
    </cfRule>
  </conditionalFormatting>
  <conditionalFormatting sqref="E77:E83">
    <cfRule type="containsText" dxfId="1835" priority="1837" operator="containsText" text="On track to be achieved">
      <formula>NOT(ISERROR(SEARCH("On track to be achieved",E77)))</formula>
    </cfRule>
    <cfRule type="containsText" dxfId="1834" priority="1838" operator="containsText" text="Deferred">
      <formula>NOT(ISERROR(SEARCH("Deferred",E77)))</formula>
    </cfRule>
    <cfRule type="containsText" dxfId="1833" priority="1839" operator="containsText" text="Deleted">
      <formula>NOT(ISERROR(SEARCH("Deleted",E77)))</formula>
    </cfRule>
    <cfRule type="containsText" dxfId="1832" priority="1840" operator="containsText" text="In Danger of Falling Behind Target">
      <formula>NOT(ISERROR(SEARCH("In Danger of Falling Behind Target",E77)))</formula>
    </cfRule>
    <cfRule type="containsText" dxfId="1831" priority="1841" operator="containsText" text="Not yet due">
      <formula>NOT(ISERROR(SEARCH("Not yet due",E77)))</formula>
    </cfRule>
    <cfRule type="containsText" dxfId="1830" priority="1842" operator="containsText" text="Update not Provided">
      <formula>NOT(ISERROR(SEARCH("Update not Provided",E77)))</formula>
    </cfRule>
    <cfRule type="containsText" dxfId="1829" priority="1843" operator="containsText" text="Not yet due">
      <formula>NOT(ISERROR(SEARCH("Not yet due",E77)))</formula>
    </cfRule>
    <cfRule type="containsText" dxfId="1828" priority="1844" operator="containsText" text="Completed Behind Schedule">
      <formula>NOT(ISERROR(SEARCH("Completed Behind Schedule",E77)))</formula>
    </cfRule>
    <cfRule type="containsText" dxfId="1827" priority="1845" operator="containsText" text="Off Target">
      <formula>NOT(ISERROR(SEARCH("Off Target",E77)))</formula>
    </cfRule>
    <cfRule type="containsText" dxfId="1826" priority="1846" operator="containsText" text="On Track to be Achieved">
      <formula>NOT(ISERROR(SEARCH("On Track to be Achieved",E77)))</formula>
    </cfRule>
    <cfRule type="containsText" dxfId="1825" priority="1847" operator="containsText" text="Fully Achieved">
      <formula>NOT(ISERROR(SEARCH("Fully Achieved",E77)))</formula>
    </cfRule>
    <cfRule type="containsText" dxfId="1824" priority="1848" operator="containsText" text="Not yet due">
      <formula>NOT(ISERROR(SEARCH("Not yet due",E77)))</formula>
    </cfRule>
    <cfRule type="containsText" dxfId="1823" priority="1849" operator="containsText" text="Not Yet Due">
      <formula>NOT(ISERROR(SEARCH("Not Yet Due",E77)))</formula>
    </cfRule>
    <cfRule type="containsText" dxfId="1822" priority="1850" operator="containsText" text="Deferred">
      <formula>NOT(ISERROR(SEARCH("Deferred",E77)))</formula>
    </cfRule>
    <cfRule type="containsText" dxfId="1821" priority="1851" operator="containsText" text="Deleted">
      <formula>NOT(ISERROR(SEARCH("Deleted",E77)))</formula>
    </cfRule>
    <cfRule type="containsText" dxfId="1820" priority="1852" operator="containsText" text="In Danger of Falling Behind Target">
      <formula>NOT(ISERROR(SEARCH("In Danger of Falling Behind Target",E77)))</formula>
    </cfRule>
    <cfRule type="containsText" dxfId="1819" priority="1853" operator="containsText" text="Not yet due">
      <formula>NOT(ISERROR(SEARCH("Not yet due",E77)))</formula>
    </cfRule>
    <cfRule type="containsText" dxfId="1818" priority="1854" operator="containsText" text="Completed Behind Schedule">
      <formula>NOT(ISERROR(SEARCH("Completed Behind Schedule",E77)))</formula>
    </cfRule>
    <cfRule type="containsText" dxfId="1817" priority="1855" operator="containsText" text="Off Target">
      <formula>NOT(ISERROR(SEARCH("Off Target",E77)))</formula>
    </cfRule>
    <cfRule type="containsText" dxfId="1816" priority="1856" operator="containsText" text="In Danger of Falling Behind Target">
      <formula>NOT(ISERROR(SEARCH("In Danger of Falling Behind Target",E77)))</formula>
    </cfRule>
    <cfRule type="containsText" dxfId="1815" priority="1857" operator="containsText" text="On Track to be Achieved">
      <formula>NOT(ISERROR(SEARCH("On Track to be Achieved",E77)))</formula>
    </cfRule>
    <cfRule type="containsText" dxfId="1814" priority="1858" operator="containsText" text="Fully Achieved">
      <formula>NOT(ISERROR(SEARCH("Fully Achieved",E77)))</formula>
    </cfRule>
    <cfRule type="containsText" dxfId="1813" priority="1859" operator="containsText" text="Update not Provided">
      <formula>NOT(ISERROR(SEARCH("Update not Provided",E77)))</formula>
    </cfRule>
    <cfRule type="containsText" dxfId="1812" priority="1860" operator="containsText" text="Not yet due">
      <formula>NOT(ISERROR(SEARCH("Not yet due",E77)))</formula>
    </cfRule>
    <cfRule type="containsText" dxfId="1811" priority="1861" operator="containsText" text="Completed Behind Schedule">
      <formula>NOT(ISERROR(SEARCH("Completed Behind Schedule",E77)))</formula>
    </cfRule>
    <cfRule type="containsText" dxfId="1810" priority="1862" operator="containsText" text="Off Target">
      <formula>NOT(ISERROR(SEARCH("Off Target",E77)))</formula>
    </cfRule>
    <cfRule type="containsText" dxfId="1809" priority="1863" operator="containsText" text="In Danger of Falling Behind Target">
      <formula>NOT(ISERROR(SEARCH("In Danger of Falling Behind Target",E77)))</formula>
    </cfRule>
    <cfRule type="containsText" dxfId="1808" priority="1864" operator="containsText" text="On Track to be Achieved">
      <formula>NOT(ISERROR(SEARCH("On Track to be Achieved",E77)))</formula>
    </cfRule>
    <cfRule type="containsText" dxfId="1807" priority="1865" operator="containsText" text="Fully Achieved">
      <formula>NOT(ISERROR(SEARCH("Fully Achieved",E77)))</formula>
    </cfRule>
    <cfRule type="containsText" dxfId="1806" priority="1866" operator="containsText" text="Fully Achieved">
      <formula>NOT(ISERROR(SEARCH("Fully Achieved",E77)))</formula>
    </cfRule>
    <cfRule type="containsText" dxfId="1805" priority="1867" operator="containsText" text="Fully Achieved">
      <formula>NOT(ISERROR(SEARCH("Fully Achieved",E77)))</formula>
    </cfRule>
    <cfRule type="containsText" dxfId="1804" priority="1868" operator="containsText" text="Deferred">
      <formula>NOT(ISERROR(SEARCH("Deferred",E77)))</formula>
    </cfRule>
    <cfRule type="containsText" dxfId="1803" priority="1869" operator="containsText" text="Deleted">
      <formula>NOT(ISERROR(SEARCH("Deleted",E77)))</formula>
    </cfRule>
    <cfRule type="containsText" dxfId="1802" priority="1870" operator="containsText" text="In Danger of Falling Behind Target">
      <formula>NOT(ISERROR(SEARCH("In Danger of Falling Behind Target",E77)))</formula>
    </cfRule>
    <cfRule type="containsText" dxfId="1801" priority="1871" operator="containsText" text="Not yet due">
      <formula>NOT(ISERROR(SEARCH("Not yet due",E77)))</formula>
    </cfRule>
    <cfRule type="containsText" dxfId="1800" priority="1872" operator="containsText" text="Update not Provided">
      <formula>NOT(ISERROR(SEARCH("Update not Provided",E77)))</formula>
    </cfRule>
  </conditionalFormatting>
  <conditionalFormatting sqref="E85">
    <cfRule type="containsText" dxfId="1799" priority="1801" operator="containsText" text="On track to be achieved">
      <formula>NOT(ISERROR(SEARCH("On track to be achieved",E85)))</formula>
    </cfRule>
    <cfRule type="containsText" dxfId="1798" priority="1802" operator="containsText" text="Deferred">
      <formula>NOT(ISERROR(SEARCH("Deferred",E85)))</formula>
    </cfRule>
    <cfRule type="containsText" dxfId="1797" priority="1803" operator="containsText" text="Deleted">
      <formula>NOT(ISERROR(SEARCH("Deleted",E85)))</formula>
    </cfRule>
    <cfRule type="containsText" dxfId="1796" priority="1804" operator="containsText" text="In Danger of Falling Behind Target">
      <formula>NOT(ISERROR(SEARCH("In Danger of Falling Behind Target",E85)))</formula>
    </cfRule>
    <cfRule type="containsText" dxfId="1795" priority="1805" operator="containsText" text="Not yet due">
      <formula>NOT(ISERROR(SEARCH("Not yet due",E85)))</formula>
    </cfRule>
    <cfRule type="containsText" dxfId="1794" priority="1806" operator="containsText" text="Update not Provided">
      <formula>NOT(ISERROR(SEARCH("Update not Provided",E85)))</formula>
    </cfRule>
    <cfRule type="containsText" dxfId="1793" priority="1807" operator="containsText" text="Not yet due">
      <formula>NOT(ISERROR(SEARCH("Not yet due",E85)))</formula>
    </cfRule>
    <cfRule type="containsText" dxfId="1792" priority="1808" operator="containsText" text="Completed Behind Schedule">
      <formula>NOT(ISERROR(SEARCH("Completed Behind Schedule",E85)))</formula>
    </cfRule>
    <cfRule type="containsText" dxfId="1791" priority="1809" operator="containsText" text="Off Target">
      <formula>NOT(ISERROR(SEARCH("Off Target",E85)))</formula>
    </cfRule>
    <cfRule type="containsText" dxfId="1790" priority="1810" operator="containsText" text="On Track to be Achieved">
      <formula>NOT(ISERROR(SEARCH("On Track to be Achieved",E85)))</formula>
    </cfRule>
    <cfRule type="containsText" dxfId="1789" priority="1811" operator="containsText" text="Fully Achieved">
      <formula>NOT(ISERROR(SEARCH("Fully Achieved",E85)))</formula>
    </cfRule>
    <cfRule type="containsText" dxfId="1788" priority="1812" operator="containsText" text="Not yet due">
      <formula>NOT(ISERROR(SEARCH("Not yet due",E85)))</formula>
    </cfRule>
    <cfRule type="containsText" dxfId="1787" priority="1813" operator="containsText" text="Not Yet Due">
      <formula>NOT(ISERROR(SEARCH("Not Yet Due",E85)))</formula>
    </cfRule>
    <cfRule type="containsText" dxfId="1786" priority="1814" operator="containsText" text="Deferred">
      <formula>NOT(ISERROR(SEARCH("Deferred",E85)))</formula>
    </cfRule>
    <cfRule type="containsText" dxfId="1785" priority="1815" operator="containsText" text="Deleted">
      <formula>NOT(ISERROR(SEARCH("Deleted",E85)))</formula>
    </cfRule>
    <cfRule type="containsText" dxfId="1784" priority="1816" operator="containsText" text="In Danger of Falling Behind Target">
      <formula>NOT(ISERROR(SEARCH("In Danger of Falling Behind Target",E85)))</formula>
    </cfRule>
    <cfRule type="containsText" dxfId="1783" priority="1817" operator="containsText" text="Not yet due">
      <formula>NOT(ISERROR(SEARCH("Not yet due",E85)))</formula>
    </cfRule>
    <cfRule type="containsText" dxfId="1782" priority="1818" operator="containsText" text="Completed Behind Schedule">
      <formula>NOT(ISERROR(SEARCH("Completed Behind Schedule",E85)))</formula>
    </cfRule>
    <cfRule type="containsText" dxfId="1781" priority="1819" operator="containsText" text="Off Target">
      <formula>NOT(ISERROR(SEARCH("Off Target",E85)))</formula>
    </cfRule>
    <cfRule type="containsText" dxfId="1780" priority="1820" operator="containsText" text="In Danger of Falling Behind Target">
      <formula>NOT(ISERROR(SEARCH("In Danger of Falling Behind Target",E85)))</formula>
    </cfRule>
    <cfRule type="containsText" dxfId="1779" priority="1821" operator="containsText" text="On Track to be Achieved">
      <formula>NOT(ISERROR(SEARCH("On Track to be Achieved",E85)))</formula>
    </cfRule>
    <cfRule type="containsText" dxfId="1778" priority="1822" operator="containsText" text="Fully Achieved">
      <formula>NOT(ISERROR(SEARCH("Fully Achieved",E85)))</formula>
    </cfRule>
    <cfRule type="containsText" dxfId="1777" priority="1823" operator="containsText" text="Update not Provided">
      <formula>NOT(ISERROR(SEARCH("Update not Provided",E85)))</formula>
    </cfRule>
    <cfRule type="containsText" dxfId="1776" priority="1824" operator="containsText" text="Not yet due">
      <formula>NOT(ISERROR(SEARCH("Not yet due",E85)))</formula>
    </cfRule>
    <cfRule type="containsText" dxfId="1775" priority="1825" operator="containsText" text="Completed Behind Schedule">
      <formula>NOT(ISERROR(SEARCH("Completed Behind Schedule",E85)))</formula>
    </cfRule>
    <cfRule type="containsText" dxfId="1774" priority="1826" operator="containsText" text="Off Target">
      <formula>NOT(ISERROR(SEARCH("Off Target",E85)))</formula>
    </cfRule>
    <cfRule type="containsText" dxfId="1773" priority="1827" operator="containsText" text="In Danger of Falling Behind Target">
      <formula>NOT(ISERROR(SEARCH("In Danger of Falling Behind Target",E85)))</formula>
    </cfRule>
    <cfRule type="containsText" dxfId="1772" priority="1828" operator="containsText" text="On Track to be Achieved">
      <formula>NOT(ISERROR(SEARCH("On Track to be Achieved",E85)))</formula>
    </cfRule>
    <cfRule type="containsText" dxfId="1771" priority="1829" operator="containsText" text="Fully Achieved">
      <formula>NOT(ISERROR(SEARCH("Fully Achieved",E85)))</formula>
    </cfRule>
    <cfRule type="containsText" dxfId="1770" priority="1830" operator="containsText" text="Fully Achieved">
      <formula>NOT(ISERROR(SEARCH("Fully Achieved",E85)))</formula>
    </cfRule>
    <cfRule type="containsText" dxfId="1769" priority="1831" operator="containsText" text="Fully Achieved">
      <formula>NOT(ISERROR(SEARCH("Fully Achieved",E85)))</formula>
    </cfRule>
    <cfRule type="containsText" dxfId="1768" priority="1832" operator="containsText" text="Deferred">
      <formula>NOT(ISERROR(SEARCH("Deferred",E85)))</formula>
    </cfRule>
    <cfRule type="containsText" dxfId="1767" priority="1833" operator="containsText" text="Deleted">
      <formula>NOT(ISERROR(SEARCH("Deleted",E85)))</formula>
    </cfRule>
    <cfRule type="containsText" dxfId="1766" priority="1834" operator="containsText" text="In Danger of Falling Behind Target">
      <formula>NOT(ISERROR(SEARCH("In Danger of Falling Behind Target",E85)))</formula>
    </cfRule>
    <cfRule type="containsText" dxfId="1765" priority="1835" operator="containsText" text="Not yet due">
      <formula>NOT(ISERROR(SEARCH("Not yet due",E85)))</formula>
    </cfRule>
    <cfRule type="containsText" dxfId="1764" priority="1836" operator="containsText" text="Update not Provided">
      <formula>NOT(ISERROR(SEARCH("Update not Provided",E85)))</formula>
    </cfRule>
  </conditionalFormatting>
  <conditionalFormatting sqref="E87:E88">
    <cfRule type="containsText" dxfId="1763" priority="1765" operator="containsText" text="On track to be achieved">
      <formula>NOT(ISERROR(SEARCH("On track to be achieved",E87)))</formula>
    </cfRule>
    <cfRule type="containsText" dxfId="1762" priority="1766" operator="containsText" text="Deferred">
      <formula>NOT(ISERROR(SEARCH("Deferred",E87)))</formula>
    </cfRule>
    <cfRule type="containsText" dxfId="1761" priority="1767" operator="containsText" text="Deleted">
      <formula>NOT(ISERROR(SEARCH("Deleted",E87)))</formula>
    </cfRule>
    <cfRule type="containsText" dxfId="1760" priority="1768" operator="containsText" text="In Danger of Falling Behind Target">
      <formula>NOT(ISERROR(SEARCH("In Danger of Falling Behind Target",E87)))</formula>
    </cfRule>
    <cfRule type="containsText" dxfId="1759" priority="1769" operator="containsText" text="Not yet due">
      <formula>NOT(ISERROR(SEARCH("Not yet due",E87)))</formula>
    </cfRule>
    <cfRule type="containsText" dxfId="1758" priority="1770" operator="containsText" text="Update not Provided">
      <formula>NOT(ISERROR(SEARCH("Update not Provided",E87)))</formula>
    </cfRule>
    <cfRule type="containsText" dxfId="1757" priority="1771" operator="containsText" text="Not yet due">
      <formula>NOT(ISERROR(SEARCH("Not yet due",E87)))</formula>
    </cfRule>
    <cfRule type="containsText" dxfId="1756" priority="1772" operator="containsText" text="Completed Behind Schedule">
      <formula>NOT(ISERROR(SEARCH("Completed Behind Schedule",E87)))</formula>
    </cfRule>
    <cfRule type="containsText" dxfId="1755" priority="1773" operator="containsText" text="Off Target">
      <formula>NOT(ISERROR(SEARCH("Off Target",E87)))</formula>
    </cfRule>
    <cfRule type="containsText" dxfId="1754" priority="1774" operator="containsText" text="On Track to be Achieved">
      <formula>NOT(ISERROR(SEARCH("On Track to be Achieved",E87)))</formula>
    </cfRule>
    <cfRule type="containsText" dxfId="1753" priority="1775" operator="containsText" text="Fully Achieved">
      <formula>NOT(ISERROR(SEARCH("Fully Achieved",E87)))</formula>
    </cfRule>
    <cfRule type="containsText" dxfId="1752" priority="1776" operator="containsText" text="Not yet due">
      <formula>NOT(ISERROR(SEARCH("Not yet due",E87)))</formula>
    </cfRule>
    <cfRule type="containsText" dxfId="1751" priority="1777" operator="containsText" text="Not Yet Due">
      <formula>NOT(ISERROR(SEARCH("Not Yet Due",E87)))</formula>
    </cfRule>
    <cfRule type="containsText" dxfId="1750" priority="1778" operator="containsText" text="Deferred">
      <formula>NOT(ISERROR(SEARCH("Deferred",E87)))</formula>
    </cfRule>
    <cfRule type="containsText" dxfId="1749" priority="1779" operator="containsText" text="Deleted">
      <formula>NOT(ISERROR(SEARCH("Deleted",E87)))</formula>
    </cfRule>
    <cfRule type="containsText" dxfId="1748" priority="1780" operator="containsText" text="In Danger of Falling Behind Target">
      <formula>NOT(ISERROR(SEARCH("In Danger of Falling Behind Target",E87)))</formula>
    </cfRule>
    <cfRule type="containsText" dxfId="1747" priority="1781" operator="containsText" text="Not yet due">
      <formula>NOT(ISERROR(SEARCH("Not yet due",E87)))</formula>
    </cfRule>
    <cfRule type="containsText" dxfId="1746" priority="1782" operator="containsText" text="Completed Behind Schedule">
      <formula>NOT(ISERROR(SEARCH("Completed Behind Schedule",E87)))</formula>
    </cfRule>
    <cfRule type="containsText" dxfId="1745" priority="1783" operator="containsText" text="Off Target">
      <formula>NOT(ISERROR(SEARCH("Off Target",E87)))</formula>
    </cfRule>
    <cfRule type="containsText" dxfId="1744" priority="1784" operator="containsText" text="In Danger of Falling Behind Target">
      <formula>NOT(ISERROR(SEARCH("In Danger of Falling Behind Target",E87)))</formula>
    </cfRule>
    <cfRule type="containsText" dxfId="1743" priority="1785" operator="containsText" text="On Track to be Achieved">
      <formula>NOT(ISERROR(SEARCH("On Track to be Achieved",E87)))</formula>
    </cfRule>
    <cfRule type="containsText" dxfId="1742" priority="1786" operator="containsText" text="Fully Achieved">
      <formula>NOT(ISERROR(SEARCH("Fully Achieved",E87)))</formula>
    </cfRule>
    <cfRule type="containsText" dxfId="1741" priority="1787" operator="containsText" text="Update not Provided">
      <formula>NOT(ISERROR(SEARCH("Update not Provided",E87)))</formula>
    </cfRule>
    <cfRule type="containsText" dxfId="1740" priority="1788" operator="containsText" text="Not yet due">
      <formula>NOT(ISERROR(SEARCH("Not yet due",E87)))</formula>
    </cfRule>
    <cfRule type="containsText" dxfId="1739" priority="1789" operator="containsText" text="Completed Behind Schedule">
      <formula>NOT(ISERROR(SEARCH("Completed Behind Schedule",E87)))</formula>
    </cfRule>
    <cfRule type="containsText" dxfId="1738" priority="1790" operator="containsText" text="Off Target">
      <formula>NOT(ISERROR(SEARCH("Off Target",E87)))</formula>
    </cfRule>
    <cfRule type="containsText" dxfId="1737" priority="1791" operator="containsText" text="In Danger of Falling Behind Target">
      <formula>NOT(ISERROR(SEARCH("In Danger of Falling Behind Target",E87)))</formula>
    </cfRule>
    <cfRule type="containsText" dxfId="1736" priority="1792" operator="containsText" text="On Track to be Achieved">
      <formula>NOT(ISERROR(SEARCH("On Track to be Achieved",E87)))</formula>
    </cfRule>
    <cfRule type="containsText" dxfId="1735" priority="1793" operator="containsText" text="Fully Achieved">
      <formula>NOT(ISERROR(SEARCH("Fully Achieved",E87)))</formula>
    </cfRule>
    <cfRule type="containsText" dxfId="1734" priority="1794" operator="containsText" text="Fully Achieved">
      <formula>NOT(ISERROR(SEARCH("Fully Achieved",E87)))</formula>
    </cfRule>
    <cfRule type="containsText" dxfId="1733" priority="1795" operator="containsText" text="Fully Achieved">
      <formula>NOT(ISERROR(SEARCH("Fully Achieved",E87)))</formula>
    </cfRule>
    <cfRule type="containsText" dxfId="1732" priority="1796" operator="containsText" text="Deferred">
      <formula>NOT(ISERROR(SEARCH("Deferred",E87)))</formula>
    </cfRule>
    <cfRule type="containsText" dxfId="1731" priority="1797" operator="containsText" text="Deleted">
      <formula>NOT(ISERROR(SEARCH("Deleted",E87)))</formula>
    </cfRule>
    <cfRule type="containsText" dxfId="1730" priority="1798" operator="containsText" text="In Danger of Falling Behind Target">
      <formula>NOT(ISERROR(SEARCH("In Danger of Falling Behind Target",E87)))</formula>
    </cfRule>
    <cfRule type="containsText" dxfId="1729" priority="1799" operator="containsText" text="Not yet due">
      <formula>NOT(ISERROR(SEARCH("Not yet due",E87)))</formula>
    </cfRule>
    <cfRule type="containsText" dxfId="1728" priority="1800" operator="containsText" text="Update not Provided">
      <formula>NOT(ISERROR(SEARCH("Update not Provided",E87)))</formula>
    </cfRule>
  </conditionalFormatting>
  <conditionalFormatting sqref="E90:E94">
    <cfRule type="containsText" dxfId="1727" priority="1729" operator="containsText" text="On track to be achieved">
      <formula>NOT(ISERROR(SEARCH("On track to be achieved",E90)))</formula>
    </cfRule>
    <cfRule type="containsText" dxfId="1726" priority="1730" operator="containsText" text="Deferred">
      <formula>NOT(ISERROR(SEARCH("Deferred",E90)))</formula>
    </cfRule>
    <cfRule type="containsText" dxfId="1725" priority="1731" operator="containsText" text="Deleted">
      <formula>NOT(ISERROR(SEARCH("Deleted",E90)))</formula>
    </cfRule>
    <cfRule type="containsText" dxfId="1724" priority="1732" operator="containsText" text="In Danger of Falling Behind Target">
      <formula>NOT(ISERROR(SEARCH("In Danger of Falling Behind Target",E90)))</formula>
    </cfRule>
    <cfRule type="containsText" dxfId="1723" priority="1733" operator="containsText" text="Not yet due">
      <formula>NOT(ISERROR(SEARCH("Not yet due",E90)))</formula>
    </cfRule>
    <cfRule type="containsText" dxfId="1722" priority="1734" operator="containsText" text="Update not Provided">
      <formula>NOT(ISERROR(SEARCH("Update not Provided",E90)))</formula>
    </cfRule>
    <cfRule type="containsText" dxfId="1721" priority="1735" operator="containsText" text="Not yet due">
      <formula>NOT(ISERROR(SEARCH("Not yet due",E90)))</formula>
    </cfRule>
    <cfRule type="containsText" dxfId="1720" priority="1736" operator="containsText" text="Completed Behind Schedule">
      <formula>NOT(ISERROR(SEARCH("Completed Behind Schedule",E90)))</formula>
    </cfRule>
    <cfRule type="containsText" dxfId="1719" priority="1737" operator="containsText" text="Off Target">
      <formula>NOT(ISERROR(SEARCH("Off Target",E90)))</formula>
    </cfRule>
    <cfRule type="containsText" dxfId="1718" priority="1738" operator="containsText" text="On Track to be Achieved">
      <formula>NOT(ISERROR(SEARCH("On Track to be Achieved",E90)))</formula>
    </cfRule>
    <cfRule type="containsText" dxfId="1717" priority="1739" operator="containsText" text="Fully Achieved">
      <formula>NOT(ISERROR(SEARCH("Fully Achieved",E90)))</formula>
    </cfRule>
    <cfRule type="containsText" dxfId="1716" priority="1740" operator="containsText" text="Not yet due">
      <formula>NOT(ISERROR(SEARCH("Not yet due",E90)))</formula>
    </cfRule>
    <cfRule type="containsText" dxfId="1715" priority="1741" operator="containsText" text="Not Yet Due">
      <formula>NOT(ISERROR(SEARCH("Not Yet Due",E90)))</formula>
    </cfRule>
    <cfRule type="containsText" dxfId="1714" priority="1742" operator="containsText" text="Deferred">
      <formula>NOT(ISERROR(SEARCH("Deferred",E90)))</formula>
    </cfRule>
    <cfRule type="containsText" dxfId="1713" priority="1743" operator="containsText" text="Deleted">
      <formula>NOT(ISERROR(SEARCH("Deleted",E90)))</formula>
    </cfRule>
    <cfRule type="containsText" dxfId="1712" priority="1744" operator="containsText" text="In Danger of Falling Behind Target">
      <formula>NOT(ISERROR(SEARCH("In Danger of Falling Behind Target",E90)))</formula>
    </cfRule>
    <cfRule type="containsText" dxfId="1711" priority="1745" operator="containsText" text="Not yet due">
      <formula>NOT(ISERROR(SEARCH("Not yet due",E90)))</formula>
    </cfRule>
    <cfRule type="containsText" dxfId="1710" priority="1746" operator="containsText" text="Completed Behind Schedule">
      <formula>NOT(ISERROR(SEARCH("Completed Behind Schedule",E90)))</formula>
    </cfRule>
    <cfRule type="containsText" dxfId="1709" priority="1747" operator="containsText" text="Off Target">
      <formula>NOT(ISERROR(SEARCH("Off Target",E90)))</formula>
    </cfRule>
    <cfRule type="containsText" dxfId="1708" priority="1748" operator="containsText" text="In Danger of Falling Behind Target">
      <formula>NOT(ISERROR(SEARCH("In Danger of Falling Behind Target",E90)))</formula>
    </cfRule>
    <cfRule type="containsText" dxfId="1707" priority="1749" operator="containsText" text="On Track to be Achieved">
      <formula>NOT(ISERROR(SEARCH("On Track to be Achieved",E90)))</formula>
    </cfRule>
    <cfRule type="containsText" dxfId="1706" priority="1750" operator="containsText" text="Fully Achieved">
      <formula>NOT(ISERROR(SEARCH("Fully Achieved",E90)))</formula>
    </cfRule>
    <cfRule type="containsText" dxfId="1705" priority="1751" operator="containsText" text="Update not Provided">
      <formula>NOT(ISERROR(SEARCH("Update not Provided",E90)))</formula>
    </cfRule>
    <cfRule type="containsText" dxfId="1704" priority="1752" operator="containsText" text="Not yet due">
      <formula>NOT(ISERROR(SEARCH("Not yet due",E90)))</formula>
    </cfRule>
    <cfRule type="containsText" dxfId="1703" priority="1753" operator="containsText" text="Completed Behind Schedule">
      <formula>NOT(ISERROR(SEARCH("Completed Behind Schedule",E90)))</formula>
    </cfRule>
    <cfRule type="containsText" dxfId="1702" priority="1754" operator="containsText" text="Off Target">
      <formula>NOT(ISERROR(SEARCH("Off Target",E90)))</formula>
    </cfRule>
    <cfRule type="containsText" dxfId="1701" priority="1755" operator="containsText" text="In Danger of Falling Behind Target">
      <formula>NOT(ISERROR(SEARCH("In Danger of Falling Behind Target",E90)))</formula>
    </cfRule>
    <cfRule type="containsText" dxfId="1700" priority="1756" operator="containsText" text="On Track to be Achieved">
      <formula>NOT(ISERROR(SEARCH("On Track to be Achieved",E90)))</formula>
    </cfRule>
    <cfRule type="containsText" dxfId="1699" priority="1757" operator="containsText" text="Fully Achieved">
      <formula>NOT(ISERROR(SEARCH("Fully Achieved",E90)))</formula>
    </cfRule>
    <cfRule type="containsText" dxfId="1698" priority="1758" operator="containsText" text="Fully Achieved">
      <formula>NOT(ISERROR(SEARCH("Fully Achieved",E90)))</formula>
    </cfRule>
    <cfRule type="containsText" dxfId="1697" priority="1759" operator="containsText" text="Fully Achieved">
      <formula>NOT(ISERROR(SEARCH("Fully Achieved",E90)))</formula>
    </cfRule>
    <cfRule type="containsText" dxfId="1696" priority="1760" operator="containsText" text="Deferred">
      <formula>NOT(ISERROR(SEARCH("Deferred",E90)))</formula>
    </cfRule>
    <cfRule type="containsText" dxfId="1695" priority="1761" operator="containsText" text="Deleted">
      <formula>NOT(ISERROR(SEARCH("Deleted",E90)))</formula>
    </cfRule>
    <cfRule type="containsText" dxfId="1694" priority="1762" operator="containsText" text="In Danger of Falling Behind Target">
      <formula>NOT(ISERROR(SEARCH("In Danger of Falling Behind Target",E90)))</formula>
    </cfRule>
    <cfRule type="containsText" dxfId="1693" priority="1763" operator="containsText" text="Not yet due">
      <formula>NOT(ISERROR(SEARCH("Not yet due",E90)))</formula>
    </cfRule>
    <cfRule type="containsText" dxfId="1692" priority="1764" operator="containsText" text="Update not Provided">
      <formula>NOT(ISERROR(SEARCH("Update not Provided",E90)))</formula>
    </cfRule>
  </conditionalFormatting>
  <conditionalFormatting sqref="E96">
    <cfRule type="containsText" dxfId="1691" priority="1693" operator="containsText" text="On track to be achieved">
      <formula>NOT(ISERROR(SEARCH("On track to be achieved",E96)))</formula>
    </cfRule>
    <cfRule type="containsText" dxfId="1690" priority="1694" operator="containsText" text="Deferred">
      <formula>NOT(ISERROR(SEARCH("Deferred",E96)))</formula>
    </cfRule>
    <cfRule type="containsText" dxfId="1689" priority="1695" operator="containsText" text="Deleted">
      <formula>NOT(ISERROR(SEARCH("Deleted",E96)))</formula>
    </cfRule>
    <cfRule type="containsText" dxfId="1688" priority="1696" operator="containsText" text="In Danger of Falling Behind Target">
      <formula>NOT(ISERROR(SEARCH("In Danger of Falling Behind Target",E96)))</formula>
    </cfRule>
    <cfRule type="containsText" dxfId="1687" priority="1697" operator="containsText" text="Not yet due">
      <formula>NOT(ISERROR(SEARCH("Not yet due",E96)))</formula>
    </cfRule>
    <cfRule type="containsText" dxfId="1686" priority="1698" operator="containsText" text="Update not Provided">
      <formula>NOT(ISERROR(SEARCH("Update not Provided",E96)))</formula>
    </cfRule>
    <cfRule type="containsText" dxfId="1685" priority="1699" operator="containsText" text="Not yet due">
      <formula>NOT(ISERROR(SEARCH("Not yet due",E96)))</formula>
    </cfRule>
    <cfRule type="containsText" dxfId="1684" priority="1700" operator="containsText" text="Completed Behind Schedule">
      <formula>NOT(ISERROR(SEARCH("Completed Behind Schedule",E96)))</formula>
    </cfRule>
    <cfRule type="containsText" dxfId="1683" priority="1701" operator="containsText" text="Off Target">
      <formula>NOT(ISERROR(SEARCH("Off Target",E96)))</formula>
    </cfRule>
    <cfRule type="containsText" dxfId="1682" priority="1702" operator="containsText" text="On Track to be Achieved">
      <formula>NOT(ISERROR(SEARCH("On Track to be Achieved",E96)))</formula>
    </cfRule>
    <cfRule type="containsText" dxfId="1681" priority="1703" operator="containsText" text="Fully Achieved">
      <formula>NOT(ISERROR(SEARCH("Fully Achieved",E96)))</formula>
    </cfRule>
    <cfRule type="containsText" dxfId="1680" priority="1704" operator="containsText" text="Not yet due">
      <formula>NOT(ISERROR(SEARCH("Not yet due",E96)))</formula>
    </cfRule>
    <cfRule type="containsText" dxfId="1679" priority="1705" operator="containsText" text="Not Yet Due">
      <formula>NOT(ISERROR(SEARCH("Not Yet Due",E96)))</formula>
    </cfRule>
    <cfRule type="containsText" dxfId="1678" priority="1706" operator="containsText" text="Deferred">
      <formula>NOT(ISERROR(SEARCH("Deferred",E96)))</formula>
    </cfRule>
    <cfRule type="containsText" dxfId="1677" priority="1707" operator="containsText" text="Deleted">
      <formula>NOT(ISERROR(SEARCH("Deleted",E96)))</formula>
    </cfRule>
    <cfRule type="containsText" dxfId="1676" priority="1708" operator="containsText" text="In Danger of Falling Behind Target">
      <formula>NOT(ISERROR(SEARCH("In Danger of Falling Behind Target",E96)))</formula>
    </cfRule>
    <cfRule type="containsText" dxfId="1675" priority="1709" operator="containsText" text="Not yet due">
      <formula>NOT(ISERROR(SEARCH("Not yet due",E96)))</formula>
    </cfRule>
    <cfRule type="containsText" dxfId="1674" priority="1710" operator="containsText" text="Completed Behind Schedule">
      <formula>NOT(ISERROR(SEARCH("Completed Behind Schedule",E96)))</formula>
    </cfRule>
    <cfRule type="containsText" dxfId="1673" priority="1711" operator="containsText" text="Off Target">
      <formula>NOT(ISERROR(SEARCH("Off Target",E96)))</formula>
    </cfRule>
    <cfRule type="containsText" dxfId="1672" priority="1712" operator="containsText" text="In Danger of Falling Behind Target">
      <formula>NOT(ISERROR(SEARCH("In Danger of Falling Behind Target",E96)))</formula>
    </cfRule>
    <cfRule type="containsText" dxfId="1671" priority="1713" operator="containsText" text="On Track to be Achieved">
      <formula>NOT(ISERROR(SEARCH("On Track to be Achieved",E96)))</formula>
    </cfRule>
    <cfRule type="containsText" dxfId="1670" priority="1714" operator="containsText" text="Fully Achieved">
      <formula>NOT(ISERROR(SEARCH("Fully Achieved",E96)))</formula>
    </cfRule>
    <cfRule type="containsText" dxfId="1669" priority="1715" operator="containsText" text="Update not Provided">
      <formula>NOT(ISERROR(SEARCH("Update not Provided",E96)))</formula>
    </cfRule>
    <cfRule type="containsText" dxfId="1668" priority="1716" operator="containsText" text="Not yet due">
      <formula>NOT(ISERROR(SEARCH("Not yet due",E96)))</formula>
    </cfRule>
    <cfRule type="containsText" dxfId="1667" priority="1717" operator="containsText" text="Completed Behind Schedule">
      <formula>NOT(ISERROR(SEARCH("Completed Behind Schedule",E96)))</formula>
    </cfRule>
    <cfRule type="containsText" dxfId="1666" priority="1718" operator="containsText" text="Off Target">
      <formula>NOT(ISERROR(SEARCH("Off Target",E96)))</formula>
    </cfRule>
    <cfRule type="containsText" dxfId="1665" priority="1719" operator="containsText" text="In Danger of Falling Behind Target">
      <formula>NOT(ISERROR(SEARCH("In Danger of Falling Behind Target",E96)))</formula>
    </cfRule>
    <cfRule type="containsText" dxfId="1664" priority="1720" operator="containsText" text="On Track to be Achieved">
      <formula>NOT(ISERROR(SEARCH("On Track to be Achieved",E96)))</formula>
    </cfRule>
    <cfRule type="containsText" dxfId="1663" priority="1721" operator="containsText" text="Fully Achieved">
      <formula>NOT(ISERROR(SEARCH("Fully Achieved",E96)))</formula>
    </cfRule>
    <cfRule type="containsText" dxfId="1662" priority="1722" operator="containsText" text="Fully Achieved">
      <formula>NOT(ISERROR(SEARCH("Fully Achieved",E96)))</formula>
    </cfRule>
    <cfRule type="containsText" dxfId="1661" priority="1723" operator="containsText" text="Fully Achieved">
      <formula>NOT(ISERROR(SEARCH("Fully Achieved",E96)))</formula>
    </cfRule>
    <cfRule type="containsText" dxfId="1660" priority="1724" operator="containsText" text="Deferred">
      <formula>NOT(ISERROR(SEARCH("Deferred",E96)))</formula>
    </cfRule>
    <cfRule type="containsText" dxfId="1659" priority="1725" operator="containsText" text="Deleted">
      <formula>NOT(ISERROR(SEARCH("Deleted",E96)))</formula>
    </cfRule>
    <cfRule type="containsText" dxfId="1658" priority="1726" operator="containsText" text="In Danger of Falling Behind Target">
      <formula>NOT(ISERROR(SEARCH("In Danger of Falling Behind Target",E96)))</formula>
    </cfRule>
    <cfRule type="containsText" dxfId="1657" priority="1727" operator="containsText" text="Not yet due">
      <formula>NOT(ISERROR(SEARCH("Not yet due",E96)))</formula>
    </cfRule>
    <cfRule type="containsText" dxfId="1656" priority="1728" operator="containsText" text="Update not Provided">
      <formula>NOT(ISERROR(SEARCH("Update not Provided",E96)))</formula>
    </cfRule>
  </conditionalFormatting>
  <conditionalFormatting sqref="E102:E121">
    <cfRule type="containsText" dxfId="1655" priority="1657" operator="containsText" text="On track to be achieved">
      <formula>NOT(ISERROR(SEARCH("On track to be achieved",E102)))</formula>
    </cfRule>
    <cfRule type="containsText" dxfId="1654" priority="1658" operator="containsText" text="Deferred">
      <formula>NOT(ISERROR(SEARCH("Deferred",E102)))</formula>
    </cfRule>
    <cfRule type="containsText" dxfId="1653" priority="1659" operator="containsText" text="Deleted">
      <formula>NOT(ISERROR(SEARCH("Deleted",E102)))</formula>
    </cfRule>
    <cfRule type="containsText" dxfId="1652" priority="1660" operator="containsText" text="In Danger of Falling Behind Target">
      <formula>NOT(ISERROR(SEARCH("In Danger of Falling Behind Target",E102)))</formula>
    </cfRule>
    <cfRule type="containsText" dxfId="1651" priority="1661" operator="containsText" text="Not yet due">
      <formula>NOT(ISERROR(SEARCH("Not yet due",E102)))</formula>
    </cfRule>
    <cfRule type="containsText" dxfId="1650" priority="1662" operator="containsText" text="Update not Provided">
      <formula>NOT(ISERROR(SEARCH("Update not Provided",E102)))</formula>
    </cfRule>
    <cfRule type="containsText" dxfId="1649" priority="1663" operator="containsText" text="Not yet due">
      <formula>NOT(ISERROR(SEARCH("Not yet due",E102)))</formula>
    </cfRule>
    <cfRule type="containsText" dxfId="1648" priority="1664" operator="containsText" text="Completed Behind Schedule">
      <formula>NOT(ISERROR(SEARCH("Completed Behind Schedule",E102)))</formula>
    </cfRule>
    <cfRule type="containsText" dxfId="1647" priority="1665" operator="containsText" text="Off Target">
      <formula>NOT(ISERROR(SEARCH("Off Target",E102)))</formula>
    </cfRule>
    <cfRule type="containsText" dxfId="1646" priority="1666" operator="containsText" text="On Track to be Achieved">
      <formula>NOT(ISERROR(SEARCH("On Track to be Achieved",E102)))</formula>
    </cfRule>
    <cfRule type="containsText" dxfId="1645" priority="1667" operator="containsText" text="Fully Achieved">
      <formula>NOT(ISERROR(SEARCH("Fully Achieved",E102)))</formula>
    </cfRule>
    <cfRule type="containsText" dxfId="1644" priority="1668" operator="containsText" text="Not yet due">
      <formula>NOT(ISERROR(SEARCH("Not yet due",E102)))</formula>
    </cfRule>
    <cfRule type="containsText" dxfId="1643" priority="1669" operator="containsText" text="Not Yet Due">
      <formula>NOT(ISERROR(SEARCH("Not Yet Due",E102)))</formula>
    </cfRule>
    <cfRule type="containsText" dxfId="1642" priority="1670" operator="containsText" text="Deferred">
      <formula>NOT(ISERROR(SEARCH("Deferred",E102)))</formula>
    </cfRule>
    <cfRule type="containsText" dxfId="1641" priority="1671" operator="containsText" text="Deleted">
      <formula>NOT(ISERROR(SEARCH("Deleted",E102)))</formula>
    </cfRule>
    <cfRule type="containsText" dxfId="1640" priority="1672" operator="containsText" text="In Danger of Falling Behind Target">
      <formula>NOT(ISERROR(SEARCH("In Danger of Falling Behind Target",E102)))</formula>
    </cfRule>
    <cfRule type="containsText" dxfId="1639" priority="1673" operator="containsText" text="Not yet due">
      <formula>NOT(ISERROR(SEARCH("Not yet due",E102)))</formula>
    </cfRule>
    <cfRule type="containsText" dxfId="1638" priority="1674" operator="containsText" text="Completed Behind Schedule">
      <formula>NOT(ISERROR(SEARCH("Completed Behind Schedule",E102)))</formula>
    </cfRule>
    <cfRule type="containsText" dxfId="1637" priority="1675" operator="containsText" text="Off Target">
      <formula>NOT(ISERROR(SEARCH("Off Target",E102)))</formula>
    </cfRule>
    <cfRule type="containsText" dxfId="1636" priority="1676" operator="containsText" text="In Danger of Falling Behind Target">
      <formula>NOT(ISERROR(SEARCH("In Danger of Falling Behind Target",E102)))</formula>
    </cfRule>
    <cfRule type="containsText" dxfId="1635" priority="1677" operator="containsText" text="On Track to be Achieved">
      <formula>NOT(ISERROR(SEARCH("On Track to be Achieved",E102)))</formula>
    </cfRule>
    <cfRule type="containsText" dxfId="1634" priority="1678" operator="containsText" text="Fully Achieved">
      <formula>NOT(ISERROR(SEARCH("Fully Achieved",E102)))</formula>
    </cfRule>
    <cfRule type="containsText" dxfId="1633" priority="1679" operator="containsText" text="Update not Provided">
      <formula>NOT(ISERROR(SEARCH("Update not Provided",E102)))</formula>
    </cfRule>
    <cfRule type="containsText" dxfId="1632" priority="1680" operator="containsText" text="Not yet due">
      <formula>NOT(ISERROR(SEARCH("Not yet due",E102)))</formula>
    </cfRule>
    <cfRule type="containsText" dxfId="1631" priority="1681" operator="containsText" text="Completed Behind Schedule">
      <formula>NOT(ISERROR(SEARCH("Completed Behind Schedule",E102)))</formula>
    </cfRule>
    <cfRule type="containsText" dxfId="1630" priority="1682" operator="containsText" text="Off Target">
      <formula>NOT(ISERROR(SEARCH("Off Target",E102)))</formula>
    </cfRule>
    <cfRule type="containsText" dxfId="1629" priority="1683" operator="containsText" text="In Danger of Falling Behind Target">
      <formula>NOT(ISERROR(SEARCH("In Danger of Falling Behind Target",E102)))</formula>
    </cfRule>
    <cfRule type="containsText" dxfId="1628" priority="1684" operator="containsText" text="On Track to be Achieved">
      <formula>NOT(ISERROR(SEARCH("On Track to be Achieved",E102)))</formula>
    </cfRule>
    <cfRule type="containsText" dxfId="1627" priority="1685" operator="containsText" text="Fully Achieved">
      <formula>NOT(ISERROR(SEARCH("Fully Achieved",E102)))</formula>
    </cfRule>
    <cfRule type="containsText" dxfId="1626" priority="1686" operator="containsText" text="Fully Achieved">
      <formula>NOT(ISERROR(SEARCH("Fully Achieved",E102)))</formula>
    </cfRule>
    <cfRule type="containsText" dxfId="1625" priority="1687" operator="containsText" text="Fully Achieved">
      <formula>NOT(ISERROR(SEARCH("Fully Achieved",E102)))</formula>
    </cfRule>
    <cfRule type="containsText" dxfId="1624" priority="1688" operator="containsText" text="Deferred">
      <formula>NOT(ISERROR(SEARCH("Deferred",E102)))</formula>
    </cfRule>
    <cfRule type="containsText" dxfId="1623" priority="1689" operator="containsText" text="Deleted">
      <formula>NOT(ISERROR(SEARCH("Deleted",E102)))</formula>
    </cfRule>
    <cfRule type="containsText" dxfId="1622" priority="1690" operator="containsText" text="In Danger of Falling Behind Target">
      <formula>NOT(ISERROR(SEARCH("In Danger of Falling Behind Target",E102)))</formula>
    </cfRule>
    <cfRule type="containsText" dxfId="1621" priority="1691" operator="containsText" text="Not yet due">
      <formula>NOT(ISERROR(SEARCH("Not yet due",E102)))</formula>
    </cfRule>
    <cfRule type="containsText" dxfId="1620" priority="1692" operator="containsText" text="Update not Provided">
      <formula>NOT(ISERROR(SEARCH("Update not Provided",E102)))</formula>
    </cfRule>
  </conditionalFormatting>
  <conditionalFormatting sqref="E30">
    <cfRule type="containsText" dxfId="1619" priority="1621" operator="containsText" text="On track to be achieved">
      <formula>NOT(ISERROR(SEARCH("On track to be achieved",E30)))</formula>
    </cfRule>
    <cfRule type="containsText" dxfId="1618" priority="1622" operator="containsText" text="Deferred">
      <formula>NOT(ISERROR(SEARCH("Deferred",E30)))</formula>
    </cfRule>
    <cfRule type="containsText" dxfId="1617" priority="1623" operator="containsText" text="Deleted">
      <formula>NOT(ISERROR(SEARCH("Deleted",E30)))</formula>
    </cfRule>
    <cfRule type="containsText" dxfId="1616" priority="1624" operator="containsText" text="In Danger of Falling Behind Target">
      <formula>NOT(ISERROR(SEARCH("In Danger of Falling Behind Target",E30)))</formula>
    </cfRule>
    <cfRule type="containsText" dxfId="1615" priority="1625" operator="containsText" text="Not yet due">
      <formula>NOT(ISERROR(SEARCH("Not yet due",E30)))</formula>
    </cfRule>
    <cfRule type="containsText" dxfId="1614" priority="1626" operator="containsText" text="Update not Provided">
      <formula>NOT(ISERROR(SEARCH("Update not Provided",E30)))</formula>
    </cfRule>
    <cfRule type="containsText" dxfId="1613" priority="1627" operator="containsText" text="Not yet due">
      <formula>NOT(ISERROR(SEARCH("Not yet due",E30)))</formula>
    </cfRule>
    <cfRule type="containsText" dxfId="1612" priority="1628" operator="containsText" text="Completed Behind Schedule">
      <formula>NOT(ISERROR(SEARCH("Completed Behind Schedule",E30)))</formula>
    </cfRule>
    <cfRule type="containsText" dxfId="1611" priority="1629" operator="containsText" text="Off Target">
      <formula>NOT(ISERROR(SEARCH("Off Target",E30)))</formula>
    </cfRule>
    <cfRule type="containsText" dxfId="1610" priority="1630" operator="containsText" text="On Track to be Achieved">
      <formula>NOT(ISERROR(SEARCH("On Track to be Achieved",E30)))</formula>
    </cfRule>
    <cfRule type="containsText" dxfId="1609" priority="1631" operator="containsText" text="Fully Achieved">
      <formula>NOT(ISERROR(SEARCH("Fully Achieved",E30)))</formula>
    </cfRule>
    <cfRule type="containsText" dxfId="1608" priority="1632" operator="containsText" text="Not yet due">
      <formula>NOT(ISERROR(SEARCH("Not yet due",E30)))</formula>
    </cfRule>
    <cfRule type="containsText" dxfId="1607" priority="1633" operator="containsText" text="Not Yet Due">
      <formula>NOT(ISERROR(SEARCH("Not Yet Due",E30)))</formula>
    </cfRule>
    <cfRule type="containsText" dxfId="1606" priority="1634" operator="containsText" text="Deferred">
      <formula>NOT(ISERROR(SEARCH("Deferred",E30)))</formula>
    </cfRule>
    <cfRule type="containsText" dxfId="1605" priority="1635" operator="containsText" text="Deleted">
      <formula>NOT(ISERROR(SEARCH("Deleted",E30)))</formula>
    </cfRule>
    <cfRule type="containsText" dxfId="1604" priority="1636" operator="containsText" text="In Danger of Falling Behind Target">
      <formula>NOT(ISERROR(SEARCH("In Danger of Falling Behind Target",E30)))</formula>
    </cfRule>
    <cfRule type="containsText" dxfId="1603" priority="1637" operator="containsText" text="Not yet due">
      <formula>NOT(ISERROR(SEARCH("Not yet due",E30)))</formula>
    </cfRule>
    <cfRule type="containsText" dxfId="1602" priority="1638" operator="containsText" text="Completed Behind Schedule">
      <formula>NOT(ISERROR(SEARCH("Completed Behind Schedule",E30)))</formula>
    </cfRule>
    <cfRule type="containsText" dxfId="1601" priority="1639" operator="containsText" text="Off Target">
      <formula>NOT(ISERROR(SEARCH("Off Target",E30)))</formula>
    </cfRule>
    <cfRule type="containsText" dxfId="1600" priority="1640" operator="containsText" text="In Danger of Falling Behind Target">
      <formula>NOT(ISERROR(SEARCH("In Danger of Falling Behind Target",E30)))</formula>
    </cfRule>
    <cfRule type="containsText" dxfId="1599" priority="1641" operator="containsText" text="On Track to be Achieved">
      <formula>NOT(ISERROR(SEARCH("On Track to be Achieved",E30)))</formula>
    </cfRule>
    <cfRule type="containsText" dxfId="1598" priority="1642" operator="containsText" text="Fully Achieved">
      <formula>NOT(ISERROR(SEARCH("Fully Achieved",E30)))</formula>
    </cfRule>
    <cfRule type="containsText" dxfId="1597" priority="1643" operator="containsText" text="Update not Provided">
      <formula>NOT(ISERROR(SEARCH("Update not Provided",E30)))</formula>
    </cfRule>
    <cfRule type="containsText" dxfId="1596" priority="1644" operator="containsText" text="Not yet due">
      <formula>NOT(ISERROR(SEARCH("Not yet due",E30)))</formula>
    </cfRule>
    <cfRule type="containsText" dxfId="1595" priority="1645" operator="containsText" text="Completed Behind Schedule">
      <formula>NOT(ISERROR(SEARCH("Completed Behind Schedule",E30)))</formula>
    </cfRule>
    <cfRule type="containsText" dxfId="1594" priority="1646" operator="containsText" text="Off Target">
      <formula>NOT(ISERROR(SEARCH("Off Target",E30)))</formula>
    </cfRule>
    <cfRule type="containsText" dxfId="1593" priority="1647" operator="containsText" text="In Danger of Falling Behind Target">
      <formula>NOT(ISERROR(SEARCH("In Danger of Falling Behind Target",E30)))</formula>
    </cfRule>
    <cfRule type="containsText" dxfId="1592" priority="1648" operator="containsText" text="On Track to be Achieved">
      <formula>NOT(ISERROR(SEARCH("On Track to be Achieved",E30)))</formula>
    </cfRule>
    <cfRule type="containsText" dxfId="1591" priority="1649" operator="containsText" text="Fully Achieved">
      <formula>NOT(ISERROR(SEARCH("Fully Achieved",E30)))</formula>
    </cfRule>
    <cfRule type="containsText" dxfId="1590" priority="1650" operator="containsText" text="Fully Achieved">
      <formula>NOT(ISERROR(SEARCH("Fully Achieved",E30)))</formula>
    </cfRule>
    <cfRule type="containsText" dxfId="1589" priority="1651" operator="containsText" text="Fully Achieved">
      <formula>NOT(ISERROR(SEARCH("Fully Achieved",E30)))</formula>
    </cfRule>
    <cfRule type="containsText" dxfId="1588" priority="1652" operator="containsText" text="Deferred">
      <formula>NOT(ISERROR(SEARCH("Deferred",E30)))</formula>
    </cfRule>
    <cfRule type="containsText" dxfId="1587" priority="1653" operator="containsText" text="Deleted">
      <formula>NOT(ISERROR(SEARCH("Deleted",E30)))</formula>
    </cfRule>
    <cfRule type="containsText" dxfId="1586" priority="1654" operator="containsText" text="In Danger of Falling Behind Target">
      <formula>NOT(ISERROR(SEARCH("In Danger of Falling Behind Target",E30)))</formula>
    </cfRule>
    <cfRule type="containsText" dxfId="1585" priority="1655" operator="containsText" text="Not yet due">
      <formula>NOT(ISERROR(SEARCH("Not yet due",E30)))</formula>
    </cfRule>
    <cfRule type="containsText" dxfId="1584" priority="1656" operator="containsText" text="Update not Provided">
      <formula>NOT(ISERROR(SEARCH("Update not Provided",E30)))</formula>
    </cfRule>
  </conditionalFormatting>
  <conditionalFormatting sqref="E31">
    <cfRule type="containsText" dxfId="1583" priority="1585" operator="containsText" text="On track to be achieved">
      <formula>NOT(ISERROR(SEARCH("On track to be achieved",E31)))</formula>
    </cfRule>
    <cfRule type="containsText" dxfId="1582" priority="1586" operator="containsText" text="Deferred">
      <formula>NOT(ISERROR(SEARCH("Deferred",E31)))</formula>
    </cfRule>
    <cfRule type="containsText" dxfId="1581" priority="1587" operator="containsText" text="Deleted">
      <formula>NOT(ISERROR(SEARCH("Deleted",E31)))</formula>
    </cfRule>
    <cfRule type="containsText" dxfId="1580" priority="1588" operator="containsText" text="In Danger of Falling Behind Target">
      <formula>NOT(ISERROR(SEARCH("In Danger of Falling Behind Target",E31)))</formula>
    </cfRule>
    <cfRule type="containsText" dxfId="1579" priority="1589" operator="containsText" text="Not yet due">
      <formula>NOT(ISERROR(SEARCH("Not yet due",E31)))</formula>
    </cfRule>
    <cfRule type="containsText" dxfId="1578" priority="1590" operator="containsText" text="Update not Provided">
      <formula>NOT(ISERROR(SEARCH("Update not Provided",E31)))</formula>
    </cfRule>
    <cfRule type="containsText" dxfId="1577" priority="1591" operator="containsText" text="Not yet due">
      <formula>NOT(ISERROR(SEARCH("Not yet due",E31)))</formula>
    </cfRule>
    <cfRule type="containsText" dxfId="1576" priority="1592" operator="containsText" text="Completed Behind Schedule">
      <formula>NOT(ISERROR(SEARCH("Completed Behind Schedule",E31)))</formula>
    </cfRule>
    <cfRule type="containsText" dxfId="1575" priority="1593" operator="containsText" text="Off Target">
      <formula>NOT(ISERROR(SEARCH("Off Target",E31)))</formula>
    </cfRule>
    <cfRule type="containsText" dxfId="1574" priority="1594" operator="containsText" text="On Track to be Achieved">
      <formula>NOT(ISERROR(SEARCH("On Track to be Achieved",E31)))</formula>
    </cfRule>
    <cfRule type="containsText" dxfId="1573" priority="1595" operator="containsText" text="Fully Achieved">
      <formula>NOT(ISERROR(SEARCH("Fully Achieved",E31)))</formula>
    </cfRule>
    <cfRule type="containsText" dxfId="1572" priority="1596" operator="containsText" text="Not yet due">
      <formula>NOT(ISERROR(SEARCH("Not yet due",E31)))</formula>
    </cfRule>
    <cfRule type="containsText" dxfId="1571" priority="1597" operator="containsText" text="Not Yet Due">
      <formula>NOT(ISERROR(SEARCH("Not Yet Due",E31)))</formula>
    </cfRule>
    <cfRule type="containsText" dxfId="1570" priority="1598" operator="containsText" text="Deferred">
      <formula>NOT(ISERROR(SEARCH("Deferred",E31)))</formula>
    </cfRule>
    <cfRule type="containsText" dxfId="1569" priority="1599" operator="containsText" text="Deleted">
      <formula>NOT(ISERROR(SEARCH("Deleted",E31)))</formula>
    </cfRule>
    <cfRule type="containsText" dxfId="1568" priority="1600" operator="containsText" text="In Danger of Falling Behind Target">
      <formula>NOT(ISERROR(SEARCH("In Danger of Falling Behind Target",E31)))</formula>
    </cfRule>
    <cfRule type="containsText" dxfId="1567" priority="1601" operator="containsText" text="Not yet due">
      <formula>NOT(ISERROR(SEARCH("Not yet due",E31)))</formula>
    </cfRule>
    <cfRule type="containsText" dxfId="1566" priority="1602" operator="containsText" text="Completed Behind Schedule">
      <formula>NOT(ISERROR(SEARCH("Completed Behind Schedule",E31)))</formula>
    </cfRule>
    <cfRule type="containsText" dxfId="1565" priority="1603" operator="containsText" text="Off Target">
      <formula>NOT(ISERROR(SEARCH("Off Target",E31)))</formula>
    </cfRule>
    <cfRule type="containsText" dxfId="1564" priority="1604" operator="containsText" text="In Danger of Falling Behind Target">
      <formula>NOT(ISERROR(SEARCH("In Danger of Falling Behind Target",E31)))</formula>
    </cfRule>
    <cfRule type="containsText" dxfId="1563" priority="1605" operator="containsText" text="On Track to be Achieved">
      <formula>NOT(ISERROR(SEARCH("On Track to be Achieved",E31)))</formula>
    </cfRule>
    <cfRule type="containsText" dxfId="1562" priority="1606" operator="containsText" text="Fully Achieved">
      <formula>NOT(ISERROR(SEARCH("Fully Achieved",E31)))</formula>
    </cfRule>
    <cfRule type="containsText" dxfId="1561" priority="1607" operator="containsText" text="Update not Provided">
      <formula>NOT(ISERROR(SEARCH("Update not Provided",E31)))</formula>
    </cfRule>
    <cfRule type="containsText" dxfId="1560" priority="1608" operator="containsText" text="Not yet due">
      <formula>NOT(ISERROR(SEARCH("Not yet due",E31)))</formula>
    </cfRule>
    <cfRule type="containsText" dxfId="1559" priority="1609" operator="containsText" text="Completed Behind Schedule">
      <formula>NOT(ISERROR(SEARCH("Completed Behind Schedule",E31)))</formula>
    </cfRule>
    <cfRule type="containsText" dxfId="1558" priority="1610" operator="containsText" text="Off Target">
      <formula>NOT(ISERROR(SEARCH("Off Target",E31)))</formula>
    </cfRule>
    <cfRule type="containsText" dxfId="1557" priority="1611" operator="containsText" text="In Danger of Falling Behind Target">
      <formula>NOT(ISERROR(SEARCH("In Danger of Falling Behind Target",E31)))</formula>
    </cfRule>
    <cfRule type="containsText" dxfId="1556" priority="1612" operator="containsText" text="On Track to be Achieved">
      <formula>NOT(ISERROR(SEARCH("On Track to be Achieved",E31)))</formula>
    </cfRule>
    <cfRule type="containsText" dxfId="1555" priority="1613" operator="containsText" text="Fully Achieved">
      <formula>NOT(ISERROR(SEARCH("Fully Achieved",E31)))</formula>
    </cfRule>
    <cfRule type="containsText" dxfId="1554" priority="1614" operator="containsText" text="Fully Achieved">
      <formula>NOT(ISERROR(SEARCH("Fully Achieved",E31)))</formula>
    </cfRule>
    <cfRule type="containsText" dxfId="1553" priority="1615" operator="containsText" text="Fully Achieved">
      <formula>NOT(ISERROR(SEARCH("Fully Achieved",E31)))</formula>
    </cfRule>
    <cfRule type="containsText" dxfId="1552" priority="1616" operator="containsText" text="Deferred">
      <formula>NOT(ISERROR(SEARCH("Deferred",E31)))</formula>
    </cfRule>
    <cfRule type="containsText" dxfId="1551" priority="1617" operator="containsText" text="Deleted">
      <formula>NOT(ISERROR(SEARCH("Deleted",E31)))</formula>
    </cfRule>
    <cfRule type="containsText" dxfId="1550" priority="1618" operator="containsText" text="In Danger of Falling Behind Target">
      <formula>NOT(ISERROR(SEARCH("In Danger of Falling Behind Target",E31)))</formula>
    </cfRule>
    <cfRule type="containsText" dxfId="1549" priority="1619" operator="containsText" text="Not yet due">
      <formula>NOT(ISERROR(SEARCH("Not yet due",E31)))</formula>
    </cfRule>
    <cfRule type="containsText" dxfId="1548" priority="1620" operator="containsText" text="Update not Provided">
      <formula>NOT(ISERROR(SEARCH("Update not Provided",E31)))</formula>
    </cfRule>
  </conditionalFormatting>
  <conditionalFormatting sqref="E33">
    <cfRule type="containsText" dxfId="1547" priority="1549" operator="containsText" text="On track to be achieved">
      <formula>NOT(ISERROR(SEARCH("On track to be achieved",E33)))</formula>
    </cfRule>
    <cfRule type="containsText" dxfId="1546" priority="1550" operator="containsText" text="Deferred">
      <formula>NOT(ISERROR(SEARCH("Deferred",E33)))</formula>
    </cfRule>
    <cfRule type="containsText" dxfId="1545" priority="1551" operator="containsText" text="Deleted">
      <formula>NOT(ISERROR(SEARCH("Deleted",E33)))</formula>
    </cfRule>
    <cfRule type="containsText" dxfId="1544" priority="1552" operator="containsText" text="In Danger of Falling Behind Target">
      <formula>NOT(ISERROR(SEARCH("In Danger of Falling Behind Target",E33)))</formula>
    </cfRule>
    <cfRule type="containsText" dxfId="1543" priority="1553" operator="containsText" text="Not yet due">
      <formula>NOT(ISERROR(SEARCH("Not yet due",E33)))</formula>
    </cfRule>
    <cfRule type="containsText" dxfId="1542" priority="1554" operator="containsText" text="Update not Provided">
      <formula>NOT(ISERROR(SEARCH("Update not Provided",E33)))</formula>
    </cfRule>
    <cfRule type="containsText" dxfId="1541" priority="1555" operator="containsText" text="Not yet due">
      <formula>NOT(ISERROR(SEARCH("Not yet due",E33)))</formula>
    </cfRule>
    <cfRule type="containsText" dxfId="1540" priority="1556" operator="containsText" text="Completed Behind Schedule">
      <formula>NOT(ISERROR(SEARCH("Completed Behind Schedule",E33)))</formula>
    </cfRule>
    <cfRule type="containsText" dxfId="1539" priority="1557" operator="containsText" text="Off Target">
      <formula>NOT(ISERROR(SEARCH("Off Target",E33)))</formula>
    </cfRule>
    <cfRule type="containsText" dxfId="1538" priority="1558" operator="containsText" text="On Track to be Achieved">
      <formula>NOT(ISERROR(SEARCH("On Track to be Achieved",E33)))</formula>
    </cfRule>
    <cfRule type="containsText" dxfId="1537" priority="1559" operator="containsText" text="Fully Achieved">
      <formula>NOT(ISERROR(SEARCH("Fully Achieved",E33)))</formula>
    </cfRule>
    <cfRule type="containsText" dxfId="1536" priority="1560" operator="containsText" text="Not yet due">
      <formula>NOT(ISERROR(SEARCH("Not yet due",E33)))</formula>
    </cfRule>
    <cfRule type="containsText" dxfId="1535" priority="1561" operator="containsText" text="Not Yet Due">
      <formula>NOT(ISERROR(SEARCH("Not Yet Due",E33)))</formula>
    </cfRule>
    <cfRule type="containsText" dxfId="1534" priority="1562" operator="containsText" text="Deferred">
      <formula>NOT(ISERROR(SEARCH("Deferred",E33)))</formula>
    </cfRule>
    <cfRule type="containsText" dxfId="1533" priority="1563" operator="containsText" text="Deleted">
      <formula>NOT(ISERROR(SEARCH("Deleted",E33)))</formula>
    </cfRule>
    <cfRule type="containsText" dxfId="1532" priority="1564" operator="containsText" text="In Danger of Falling Behind Target">
      <formula>NOT(ISERROR(SEARCH("In Danger of Falling Behind Target",E33)))</formula>
    </cfRule>
    <cfRule type="containsText" dxfId="1531" priority="1565" operator="containsText" text="Not yet due">
      <formula>NOT(ISERROR(SEARCH("Not yet due",E33)))</formula>
    </cfRule>
    <cfRule type="containsText" dxfId="1530" priority="1566" operator="containsText" text="Completed Behind Schedule">
      <formula>NOT(ISERROR(SEARCH("Completed Behind Schedule",E33)))</formula>
    </cfRule>
    <cfRule type="containsText" dxfId="1529" priority="1567" operator="containsText" text="Off Target">
      <formula>NOT(ISERROR(SEARCH("Off Target",E33)))</formula>
    </cfRule>
    <cfRule type="containsText" dxfId="1528" priority="1568" operator="containsText" text="In Danger of Falling Behind Target">
      <formula>NOT(ISERROR(SEARCH("In Danger of Falling Behind Target",E33)))</formula>
    </cfRule>
    <cfRule type="containsText" dxfId="1527" priority="1569" operator="containsText" text="On Track to be Achieved">
      <formula>NOT(ISERROR(SEARCH("On Track to be Achieved",E33)))</formula>
    </cfRule>
    <cfRule type="containsText" dxfId="1526" priority="1570" operator="containsText" text="Fully Achieved">
      <formula>NOT(ISERROR(SEARCH("Fully Achieved",E33)))</formula>
    </cfRule>
    <cfRule type="containsText" dxfId="1525" priority="1571" operator="containsText" text="Update not Provided">
      <formula>NOT(ISERROR(SEARCH("Update not Provided",E33)))</formula>
    </cfRule>
    <cfRule type="containsText" dxfId="1524" priority="1572" operator="containsText" text="Not yet due">
      <formula>NOT(ISERROR(SEARCH("Not yet due",E33)))</formula>
    </cfRule>
    <cfRule type="containsText" dxfId="1523" priority="1573" operator="containsText" text="Completed Behind Schedule">
      <formula>NOT(ISERROR(SEARCH("Completed Behind Schedule",E33)))</formula>
    </cfRule>
    <cfRule type="containsText" dxfId="1522" priority="1574" operator="containsText" text="Off Target">
      <formula>NOT(ISERROR(SEARCH("Off Target",E33)))</formula>
    </cfRule>
    <cfRule type="containsText" dxfId="1521" priority="1575" operator="containsText" text="In Danger of Falling Behind Target">
      <formula>NOT(ISERROR(SEARCH("In Danger of Falling Behind Target",E33)))</formula>
    </cfRule>
    <cfRule type="containsText" dxfId="1520" priority="1576" operator="containsText" text="On Track to be Achieved">
      <formula>NOT(ISERROR(SEARCH("On Track to be Achieved",E33)))</formula>
    </cfRule>
    <cfRule type="containsText" dxfId="1519" priority="1577" operator="containsText" text="Fully Achieved">
      <formula>NOT(ISERROR(SEARCH("Fully Achieved",E33)))</formula>
    </cfRule>
    <cfRule type="containsText" dxfId="1518" priority="1578" operator="containsText" text="Fully Achieved">
      <formula>NOT(ISERROR(SEARCH("Fully Achieved",E33)))</formula>
    </cfRule>
    <cfRule type="containsText" dxfId="1517" priority="1579" operator="containsText" text="Fully Achieved">
      <formula>NOT(ISERROR(SEARCH("Fully Achieved",E33)))</formula>
    </cfRule>
    <cfRule type="containsText" dxfId="1516" priority="1580" operator="containsText" text="Deferred">
      <formula>NOT(ISERROR(SEARCH("Deferred",E33)))</formula>
    </cfRule>
    <cfRule type="containsText" dxfId="1515" priority="1581" operator="containsText" text="Deleted">
      <formula>NOT(ISERROR(SEARCH("Deleted",E33)))</formula>
    </cfRule>
    <cfRule type="containsText" dxfId="1514" priority="1582" operator="containsText" text="In Danger of Falling Behind Target">
      <formula>NOT(ISERROR(SEARCH("In Danger of Falling Behind Target",E33)))</formula>
    </cfRule>
    <cfRule type="containsText" dxfId="1513" priority="1583" operator="containsText" text="Not yet due">
      <formula>NOT(ISERROR(SEARCH("Not yet due",E33)))</formula>
    </cfRule>
    <cfRule type="containsText" dxfId="1512" priority="1584" operator="containsText" text="Update not Provided">
      <formula>NOT(ISERROR(SEARCH("Update not Provided",E33)))</formula>
    </cfRule>
  </conditionalFormatting>
  <conditionalFormatting sqref="E62 E55 E51 E48 E42:E43 E39:E40 E36:E37 E34">
    <cfRule type="containsText" dxfId="1511" priority="1513" operator="containsText" text="On track to be achieved">
      <formula>NOT(ISERROR(SEARCH("On track to be achieved",E34)))</formula>
    </cfRule>
    <cfRule type="containsText" dxfId="1510" priority="1514" operator="containsText" text="Deferred">
      <formula>NOT(ISERROR(SEARCH("Deferred",E34)))</formula>
    </cfRule>
    <cfRule type="containsText" dxfId="1509" priority="1515" operator="containsText" text="Deleted">
      <formula>NOT(ISERROR(SEARCH("Deleted",E34)))</formula>
    </cfRule>
    <cfRule type="containsText" dxfId="1508" priority="1516" operator="containsText" text="In Danger of Falling Behind Target">
      <formula>NOT(ISERROR(SEARCH("In Danger of Falling Behind Target",E34)))</formula>
    </cfRule>
    <cfRule type="containsText" dxfId="1507" priority="1517" operator="containsText" text="Not yet due">
      <formula>NOT(ISERROR(SEARCH("Not yet due",E34)))</formula>
    </cfRule>
    <cfRule type="containsText" dxfId="1506" priority="1518" operator="containsText" text="Update not Provided">
      <formula>NOT(ISERROR(SEARCH("Update not Provided",E34)))</formula>
    </cfRule>
    <cfRule type="containsText" dxfId="1505" priority="1519" operator="containsText" text="Not yet due">
      <formula>NOT(ISERROR(SEARCH("Not yet due",E34)))</formula>
    </cfRule>
    <cfRule type="containsText" dxfId="1504" priority="1520" operator="containsText" text="Completed Behind Schedule">
      <formula>NOT(ISERROR(SEARCH("Completed Behind Schedule",E34)))</formula>
    </cfRule>
    <cfRule type="containsText" dxfId="1503" priority="1521" operator="containsText" text="Off Target">
      <formula>NOT(ISERROR(SEARCH("Off Target",E34)))</formula>
    </cfRule>
    <cfRule type="containsText" dxfId="1502" priority="1522" operator="containsText" text="On Track to be Achieved">
      <formula>NOT(ISERROR(SEARCH("On Track to be Achieved",E34)))</formula>
    </cfRule>
    <cfRule type="containsText" dxfId="1501" priority="1523" operator="containsText" text="Fully Achieved">
      <formula>NOT(ISERROR(SEARCH("Fully Achieved",E34)))</formula>
    </cfRule>
    <cfRule type="containsText" dxfId="1500" priority="1524" operator="containsText" text="Not yet due">
      <formula>NOT(ISERROR(SEARCH("Not yet due",E34)))</formula>
    </cfRule>
    <cfRule type="containsText" dxfId="1499" priority="1525" operator="containsText" text="Not Yet Due">
      <formula>NOT(ISERROR(SEARCH("Not Yet Due",E34)))</formula>
    </cfRule>
    <cfRule type="containsText" dxfId="1498" priority="1526" operator="containsText" text="Deferred">
      <formula>NOT(ISERROR(SEARCH("Deferred",E34)))</formula>
    </cfRule>
    <cfRule type="containsText" dxfId="1497" priority="1527" operator="containsText" text="Deleted">
      <formula>NOT(ISERROR(SEARCH("Deleted",E34)))</formula>
    </cfRule>
    <cfRule type="containsText" dxfId="1496" priority="1528" operator="containsText" text="In Danger of Falling Behind Target">
      <formula>NOT(ISERROR(SEARCH("In Danger of Falling Behind Target",E34)))</formula>
    </cfRule>
    <cfRule type="containsText" dxfId="1495" priority="1529" operator="containsText" text="Not yet due">
      <formula>NOT(ISERROR(SEARCH("Not yet due",E34)))</formula>
    </cfRule>
    <cfRule type="containsText" dxfId="1494" priority="1530" operator="containsText" text="Completed Behind Schedule">
      <formula>NOT(ISERROR(SEARCH("Completed Behind Schedule",E34)))</formula>
    </cfRule>
    <cfRule type="containsText" dxfId="1493" priority="1531" operator="containsText" text="Off Target">
      <formula>NOT(ISERROR(SEARCH("Off Target",E34)))</formula>
    </cfRule>
    <cfRule type="containsText" dxfId="1492" priority="1532" operator="containsText" text="In Danger of Falling Behind Target">
      <formula>NOT(ISERROR(SEARCH("In Danger of Falling Behind Target",E34)))</formula>
    </cfRule>
    <cfRule type="containsText" dxfId="1491" priority="1533" operator="containsText" text="On Track to be Achieved">
      <formula>NOT(ISERROR(SEARCH("On Track to be Achieved",E34)))</formula>
    </cfRule>
    <cfRule type="containsText" dxfId="1490" priority="1534" operator="containsText" text="Fully Achieved">
      <formula>NOT(ISERROR(SEARCH("Fully Achieved",E34)))</formula>
    </cfRule>
    <cfRule type="containsText" dxfId="1489" priority="1535" operator="containsText" text="Update not Provided">
      <formula>NOT(ISERROR(SEARCH("Update not Provided",E34)))</formula>
    </cfRule>
    <cfRule type="containsText" dxfId="1488" priority="1536" operator="containsText" text="Not yet due">
      <formula>NOT(ISERROR(SEARCH("Not yet due",E34)))</formula>
    </cfRule>
    <cfRule type="containsText" dxfId="1487" priority="1537" operator="containsText" text="Completed Behind Schedule">
      <formula>NOT(ISERROR(SEARCH("Completed Behind Schedule",E34)))</formula>
    </cfRule>
    <cfRule type="containsText" dxfId="1486" priority="1538" operator="containsText" text="Off Target">
      <formula>NOT(ISERROR(SEARCH("Off Target",E34)))</formula>
    </cfRule>
    <cfRule type="containsText" dxfId="1485" priority="1539" operator="containsText" text="In Danger of Falling Behind Target">
      <formula>NOT(ISERROR(SEARCH("In Danger of Falling Behind Target",E34)))</formula>
    </cfRule>
    <cfRule type="containsText" dxfId="1484" priority="1540" operator="containsText" text="On Track to be Achieved">
      <formula>NOT(ISERROR(SEARCH("On Track to be Achieved",E34)))</formula>
    </cfRule>
    <cfRule type="containsText" dxfId="1483" priority="1541" operator="containsText" text="Fully Achieved">
      <formula>NOT(ISERROR(SEARCH("Fully Achieved",E34)))</formula>
    </cfRule>
    <cfRule type="containsText" dxfId="1482" priority="1542" operator="containsText" text="Fully Achieved">
      <formula>NOT(ISERROR(SEARCH("Fully Achieved",E34)))</formula>
    </cfRule>
    <cfRule type="containsText" dxfId="1481" priority="1543" operator="containsText" text="Fully Achieved">
      <formula>NOT(ISERROR(SEARCH("Fully Achieved",E34)))</formula>
    </cfRule>
    <cfRule type="containsText" dxfId="1480" priority="1544" operator="containsText" text="Deferred">
      <formula>NOT(ISERROR(SEARCH("Deferred",E34)))</formula>
    </cfRule>
    <cfRule type="containsText" dxfId="1479" priority="1545" operator="containsText" text="Deleted">
      <formula>NOT(ISERROR(SEARCH("Deleted",E34)))</formula>
    </cfRule>
    <cfRule type="containsText" dxfId="1478" priority="1546" operator="containsText" text="In Danger of Falling Behind Target">
      <formula>NOT(ISERROR(SEARCH("In Danger of Falling Behind Target",E34)))</formula>
    </cfRule>
    <cfRule type="containsText" dxfId="1477" priority="1547" operator="containsText" text="Not yet due">
      <formula>NOT(ISERROR(SEARCH("Not yet due",E34)))</formula>
    </cfRule>
    <cfRule type="containsText" dxfId="1476" priority="1548" operator="containsText" text="Update not Provided">
      <formula>NOT(ISERROR(SEARCH("Update not Provided",E34)))</formula>
    </cfRule>
  </conditionalFormatting>
  <conditionalFormatting sqref="E71">
    <cfRule type="containsText" dxfId="1475" priority="1477" operator="containsText" text="On track to be achieved">
      <formula>NOT(ISERROR(SEARCH("On track to be achieved",E71)))</formula>
    </cfRule>
    <cfRule type="containsText" dxfId="1474" priority="1478" operator="containsText" text="Deferred">
      <formula>NOT(ISERROR(SEARCH("Deferred",E71)))</formula>
    </cfRule>
    <cfRule type="containsText" dxfId="1473" priority="1479" operator="containsText" text="Deleted">
      <formula>NOT(ISERROR(SEARCH("Deleted",E71)))</formula>
    </cfRule>
    <cfRule type="containsText" dxfId="1472" priority="1480" operator="containsText" text="In Danger of Falling Behind Target">
      <formula>NOT(ISERROR(SEARCH("In Danger of Falling Behind Target",E71)))</formula>
    </cfRule>
    <cfRule type="containsText" dxfId="1471" priority="1481" operator="containsText" text="Not yet due">
      <formula>NOT(ISERROR(SEARCH("Not yet due",E71)))</formula>
    </cfRule>
    <cfRule type="containsText" dxfId="1470" priority="1482" operator="containsText" text="Update not Provided">
      <formula>NOT(ISERROR(SEARCH("Update not Provided",E71)))</formula>
    </cfRule>
    <cfRule type="containsText" dxfId="1469" priority="1483" operator="containsText" text="Not yet due">
      <formula>NOT(ISERROR(SEARCH("Not yet due",E71)))</formula>
    </cfRule>
    <cfRule type="containsText" dxfId="1468" priority="1484" operator="containsText" text="Completed Behind Schedule">
      <formula>NOT(ISERROR(SEARCH("Completed Behind Schedule",E71)))</formula>
    </cfRule>
    <cfRule type="containsText" dxfId="1467" priority="1485" operator="containsText" text="Off Target">
      <formula>NOT(ISERROR(SEARCH("Off Target",E71)))</formula>
    </cfRule>
    <cfRule type="containsText" dxfId="1466" priority="1486" operator="containsText" text="On Track to be Achieved">
      <formula>NOT(ISERROR(SEARCH("On Track to be Achieved",E71)))</formula>
    </cfRule>
    <cfRule type="containsText" dxfId="1465" priority="1487" operator="containsText" text="Fully Achieved">
      <formula>NOT(ISERROR(SEARCH("Fully Achieved",E71)))</formula>
    </cfRule>
    <cfRule type="containsText" dxfId="1464" priority="1488" operator="containsText" text="Not yet due">
      <formula>NOT(ISERROR(SEARCH("Not yet due",E71)))</formula>
    </cfRule>
    <cfRule type="containsText" dxfId="1463" priority="1489" operator="containsText" text="Not Yet Due">
      <formula>NOT(ISERROR(SEARCH("Not Yet Due",E71)))</formula>
    </cfRule>
    <cfRule type="containsText" dxfId="1462" priority="1490" operator="containsText" text="Deferred">
      <formula>NOT(ISERROR(SEARCH("Deferred",E71)))</formula>
    </cfRule>
    <cfRule type="containsText" dxfId="1461" priority="1491" operator="containsText" text="Deleted">
      <formula>NOT(ISERROR(SEARCH("Deleted",E71)))</formula>
    </cfRule>
    <cfRule type="containsText" dxfId="1460" priority="1492" operator="containsText" text="In Danger of Falling Behind Target">
      <formula>NOT(ISERROR(SEARCH("In Danger of Falling Behind Target",E71)))</formula>
    </cfRule>
    <cfRule type="containsText" dxfId="1459" priority="1493" operator="containsText" text="Not yet due">
      <formula>NOT(ISERROR(SEARCH("Not yet due",E71)))</formula>
    </cfRule>
    <cfRule type="containsText" dxfId="1458" priority="1494" operator="containsText" text="Completed Behind Schedule">
      <formula>NOT(ISERROR(SEARCH("Completed Behind Schedule",E71)))</formula>
    </cfRule>
    <cfRule type="containsText" dxfId="1457" priority="1495" operator="containsText" text="Off Target">
      <formula>NOT(ISERROR(SEARCH("Off Target",E71)))</formula>
    </cfRule>
    <cfRule type="containsText" dxfId="1456" priority="1496" operator="containsText" text="In Danger of Falling Behind Target">
      <formula>NOT(ISERROR(SEARCH("In Danger of Falling Behind Target",E71)))</formula>
    </cfRule>
    <cfRule type="containsText" dxfId="1455" priority="1497" operator="containsText" text="On Track to be Achieved">
      <formula>NOT(ISERROR(SEARCH("On Track to be Achieved",E71)))</formula>
    </cfRule>
    <cfRule type="containsText" dxfId="1454" priority="1498" operator="containsText" text="Fully Achieved">
      <formula>NOT(ISERROR(SEARCH("Fully Achieved",E71)))</formula>
    </cfRule>
    <cfRule type="containsText" dxfId="1453" priority="1499" operator="containsText" text="Update not Provided">
      <formula>NOT(ISERROR(SEARCH("Update not Provided",E71)))</formula>
    </cfRule>
    <cfRule type="containsText" dxfId="1452" priority="1500" operator="containsText" text="Not yet due">
      <formula>NOT(ISERROR(SEARCH("Not yet due",E71)))</formula>
    </cfRule>
    <cfRule type="containsText" dxfId="1451" priority="1501" operator="containsText" text="Completed Behind Schedule">
      <formula>NOT(ISERROR(SEARCH("Completed Behind Schedule",E71)))</formula>
    </cfRule>
    <cfRule type="containsText" dxfId="1450" priority="1502" operator="containsText" text="Off Target">
      <formula>NOT(ISERROR(SEARCH("Off Target",E71)))</formula>
    </cfRule>
    <cfRule type="containsText" dxfId="1449" priority="1503" operator="containsText" text="In Danger of Falling Behind Target">
      <formula>NOT(ISERROR(SEARCH("In Danger of Falling Behind Target",E71)))</formula>
    </cfRule>
    <cfRule type="containsText" dxfId="1448" priority="1504" operator="containsText" text="On Track to be Achieved">
      <formula>NOT(ISERROR(SEARCH("On Track to be Achieved",E71)))</formula>
    </cfRule>
    <cfRule type="containsText" dxfId="1447" priority="1505" operator="containsText" text="Fully Achieved">
      <formula>NOT(ISERROR(SEARCH("Fully Achieved",E71)))</formula>
    </cfRule>
    <cfRule type="containsText" dxfId="1446" priority="1506" operator="containsText" text="Fully Achieved">
      <formula>NOT(ISERROR(SEARCH("Fully Achieved",E71)))</formula>
    </cfRule>
    <cfRule type="containsText" dxfId="1445" priority="1507" operator="containsText" text="Fully Achieved">
      <formula>NOT(ISERROR(SEARCH("Fully Achieved",E71)))</formula>
    </cfRule>
    <cfRule type="containsText" dxfId="1444" priority="1508" operator="containsText" text="Deferred">
      <formula>NOT(ISERROR(SEARCH("Deferred",E71)))</formula>
    </cfRule>
    <cfRule type="containsText" dxfId="1443" priority="1509" operator="containsText" text="Deleted">
      <formula>NOT(ISERROR(SEARCH("Deleted",E71)))</formula>
    </cfRule>
    <cfRule type="containsText" dxfId="1442" priority="1510" operator="containsText" text="In Danger of Falling Behind Target">
      <formula>NOT(ISERROR(SEARCH("In Danger of Falling Behind Target",E71)))</formula>
    </cfRule>
    <cfRule type="containsText" dxfId="1441" priority="1511" operator="containsText" text="Not yet due">
      <formula>NOT(ISERROR(SEARCH("Not yet due",E71)))</formula>
    </cfRule>
    <cfRule type="containsText" dxfId="1440" priority="1512" operator="containsText" text="Update not Provided">
      <formula>NOT(ISERROR(SEARCH("Update not Provided",E71)))</formula>
    </cfRule>
  </conditionalFormatting>
  <conditionalFormatting sqref="E84 E76 E71:E74">
    <cfRule type="containsText" dxfId="1439" priority="1441" operator="containsText" text="On track to be achieved">
      <formula>NOT(ISERROR(SEARCH("On track to be achieved",E71)))</formula>
    </cfRule>
    <cfRule type="containsText" dxfId="1438" priority="1442" operator="containsText" text="Deferred">
      <formula>NOT(ISERROR(SEARCH("Deferred",E71)))</formula>
    </cfRule>
    <cfRule type="containsText" dxfId="1437" priority="1443" operator="containsText" text="Deleted">
      <formula>NOT(ISERROR(SEARCH("Deleted",E71)))</formula>
    </cfRule>
    <cfRule type="containsText" dxfId="1436" priority="1444" operator="containsText" text="In Danger of Falling Behind Target">
      <formula>NOT(ISERROR(SEARCH("In Danger of Falling Behind Target",E71)))</formula>
    </cfRule>
    <cfRule type="containsText" dxfId="1435" priority="1445" operator="containsText" text="Not yet due">
      <formula>NOT(ISERROR(SEARCH("Not yet due",E71)))</formula>
    </cfRule>
    <cfRule type="containsText" dxfId="1434" priority="1446" operator="containsText" text="Update not Provided">
      <formula>NOT(ISERROR(SEARCH("Update not Provided",E71)))</formula>
    </cfRule>
    <cfRule type="containsText" dxfId="1433" priority="1447" operator="containsText" text="Not yet due">
      <formula>NOT(ISERROR(SEARCH("Not yet due",E71)))</formula>
    </cfRule>
    <cfRule type="containsText" dxfId="1432" priority="1448" operator="containsText" text="Completed Behind Schedule">
      <formula>NOT(ISERROR(SEARCH("Completed Behind Schedule",E71)))</formula>
    </cfRule>
    <cfRule type="containsText" dxfId="1431" priority="1449" operator="containsText" text="Off Target">
      <formula>NOT(ISERROR(SEARCH("Off Target",E71)))</formula>
    </cfRule>
    <cfRule type="containsText" dxfId="1430" priority="1450" operator="containsText" text="On Track to be Achieved">
      <formula>NOT(ISERROR(SEARCH("On Track to be Achieved",E71)))</formula>
    </cfRule>
    <cfRule type="containsText" dxfId="1429" priority="1451" operator="containsText" text="Fully Achieved">
      <formula>NOT(ISERROR(SEARCH("Fully Achieved",E71)))</formula>
    </cfRule>
    <cfRule type="containsText" dxfId="1428" priority="1452" operator="containsText" text="Not yet due">
      <formula>NOT(ISERROR(SEARCH("Not yet due",E71)))</formula>
    </cfRule>
    <cfRule type="containsText" dxfId="1427" priority="1453" operator="containsText" text="Not Yet Due">
      <formula>NOT(ISERROR(SEARCH("Not Yet Due",E71)))</formula>
    </cfRule>
    <cfRule type="containsText" dxfId="1426" priority="1454" operator="containsText" text="Deferred">
      <formula>NOT(ISERROR(SEARCH("Deferred",E71)))</formula>
    </cfRule>
    <cfRule type="containsText" dxfId="1425" priority="1455" operator="containsText" text="Deleted">
      <formula>NOT(ISERROR(SEARCH("Deleted",E71)))</formula>
    </cfRule>
    <cfRule type="containsText" dxfId="1424" priority="1456" operator="containsText" text="In Danger of Falling Behind Target">
      <formula>NOT(ISERROR(SEARCH("In Danger of Falling Behind Target",E71)))</formula>
    </cfRule>
    <cfRule type="containsText" dxfId="1423" priority="1457" operator="containsText" text="Not yet due">
      <formula>NOT(ISERROR(SEARCH("Not yet due",E71)))</formula>
    </cfRule>
    <cfRule type="containsText" dxfId="1422" priority="1458" operator="containsText" text="Completed Behind Schedule">
      <formula>NOT(ISERROR(SEARCH("Completed Behind Schedule",E71)))</formula>
    </cfRule>
    <cfRule type="containsText" dxfId="1421" priority="1459" operator="containsText" text="Off Target">
      <formula>NOT(ISERROR(SEARCH("Off Target",E71)))</formula>
    </cfRule>
    <cfRule type="containsText" dxfId="1420" priority="1460" operator="containsText" text="In Danger of Falling Behind Target">
      <formula>NOT(ISERROR(SEARCH("In Danger of Falling Behind Target",E71)))</formula>
    </cfRule>
    <cfRule type="containsText" dxfId="1419" priority="1461" operator="containsText" text="On Track to be Achieved">
      <formula>NOT(ISERROR(SEARCH("On Track to be Achieved",E71)))</formula>
    </cfRule>
    <cfRule type="containsText" dxfId="1418" priority="1462" operator="containsText" text="Fully Achieved">
      <formula>NOT(ISERROR(SEARCH("Fully Achieved",E71)))</formula>
    </cfRule>
    <cfRule type="containsText" dxfId="1417" priority="1463" operator="containsText" text="Update not Provided">
      <formula>NOT(ISERROR(SEARCH("Update not Provided",E71)))</formula>
    </cfRule>
    <cfRule type="containsText" dxfId="1416" priority="1464" operator="containsText" text="Not yet due">
      <formula>NOT(ISERROR(SEARCH("Not yet due",E71)))</formula>
    </cfRule>
    <cfRule type="containsText" dxfId="1415" priority="1465" operator="containsText" text="Completed Behind Schedule">
      <formula>NOT(ISERROR(SEARCH("Completed Behind Schedule",E71)))</formula>
    </cfRule>
    <cfRule type="containsText" dxfId="1414" priority="1466" operator="containsText" text="Off Target">
      <formula>NOT(ISERROR(SEARCH("Off Target",E71)))</formula>
    </cfRule>
    <cfRule type="containsText" dxfId="1413" priority="1467" operator="containsText" text="In Danger of Falling Behind Target">
      <formula>NOT(ISERROR(SEARCH("In Danger of Falling Behind Target",E71)))</formula>
    </cfRule>
    <cfRule type="containsText" dxfId="1412" priority="1468" operator="containsText" text="On Track to be Achieved">
      <formula>NOT(ISERROR(SEARCH("On Track to be Achieved",E71)))</formula>
    </cfRule>
    <cfRule type="containsText" dxfId="1411" priority="1469" operator="containsText" text="Fully Achieved">
      <formula>NOT(ISERROR(SEARCH("Fully Achieved",E71)))</formula>
    </cfRule>
    <cfRule type="containsText" dxfId="1410" priority="1470" operator="containsText" text="Fully Achieved">
      <formula>NOT(ISERROR(SEARCH("Fully Achieved",E71)))</formula>
    </cfRule>
    <cfRule type="containsText" dxfId="1409" priority="1471" operator="containsText" text="Fully Achieved">
      <formula>NOT(ISERROR(SEARCH("Fully Achieved",E71)))</formula>
    </cfRule>
    <cfRule type="containsText" dxfId="1408" priority="1472" operator="containsText" text="Deferred">
      <formula>NOT(ISERROR(SEARCH("Deferred",E71)))</formula>
    </cfRule>
    <cfRule type="containsText" dxfId="1407" priority="1473" operator="containsText" text="Deleted">
      <formula>NOT(ISERROR(SEARCH("Deleted",E71)))</formula>
    </cfRule>
    <cfRule type="containsText" dxfId="1406" priority="1474" operator="containsText" text="In Danger of Falling Behind Target">
      <formula>NOT(ISERROR(SEARCH("In Danger of Falling Behind Target",E71)))</formula>
    </cfRule>
    <cfRule type="containsText" dxfId="1405" priority="1475" operator="containsText" text="Not yet due">
      <formula>NOT(ISERROR(SEARCH("Not yet due",E71)))</formula>
    </cfRule>
    <cfRule type="containsText" dxfId="1404" priority="1476" operator="containsText" text="Update not Provided">
      <formula>NOT(ISERROR(SEARCH("Update not Provided",E71)))</formula>
    </cfRule>
  </conditionalFormatting>
  <conditionalFormatting sqref="E122 E97:E101 E95 E89">
    <cfRule type="containsText" dxfId="1403" priority="1405" operator="containsText" text="On track to be achieved">
      <formula>NOT(ISERROR(SEARCH("On track to be achieved",E89)))</formula>
    </cfRule>
    <cfRule type="containsText" dxfId="1402" priority="1406" operator="containsText" text="Deferred">
      <formula>NOT(ISERROR(SEARCH("Deferred",E89)))</formula>
    </cfRule>
    <cfRule type="containsText" dxfId="1401" priority="1407" operator="containsText" text="Deleted">
      <formula>NOT(ISERROR(SEARCH("Deleted",E89)))</formula>
    </cfRule>
    <cfRule type="containsText" dxfId="1400" priority="1408" operator="containsText" text="In Danger of Falling Behind Target">
      <formula>NOT(ISERROR(SEARCH("In Danger of Falling Behind Target",E89)))</formula>
    </cfRule>
    <cfRule type="containsText" dxfId="1399" priority="1409" operator="containsText" text="Not yet due">
      <formula>NOT(ISERROR(SEARCH("Not yet due",E89)))</formula>
    </cfRule>
    <cfRule type="containsText" dxfId="1398" priority="1410" operator="containsText" text="Update not Provided">
      <formula>NOT(ISERROR(SEARCH("Update not Provided",E89)))</formula>
    </cfRule>
    <cfRule type="containsText" dxfId="1397" priority="1411" operator="containsText" text="Not yet due">
      <formula>NOT(ISERROR(SEARCH("Not yet due",E89)))</formula>
    </cfRule>
    <cfRule type="containsText" dxfId="1396" priority="1412" operator="containsText" text="Completed Behind Schedule">
      <formula>NOT(ISERROR(SEARCH("Completed Behind Schedule",E89)))</formula>
    </cfRule>
    <cfRule type="containsText" dxfId="1395" priority="1413" operator="containsText" text="Off Target">
      <formula>NOT(ISERROR(SEARCH("Off Target",E89)))</formula>
    </cfRule>
    <cfRule type="containsText" dxfId="1394" priority="1414" operator="containsText" text="On Track to be Achieved">
      <formula>NOT(ISERROR(SEARCH("On Track to be Achieved",E89)))</formula>
    </cfRule>
    <cfRule type="containsText" dxfId="1393" priority="1415" operator="containsText" text="Fully Achieved">
      <formula>NOT(ISERROR(SEARCH("Fully Achieved",E89)))</formula>
    </cfRule>
    <cfRule type="containsText" dxfId="1392" priority="1416" operator="containsText" text="Not yet due">
      <formula>NOT(ISERROR(SEARCH("Not yet due",E89)))</formula>
    </cfRule>
    <cfRule type="containsText" dxfId="1391" priority="1417" operator="containsText" text="Not Yet Due">
      <formula>NOT(ISERROR(SEARCH("Not Yet Due",E89)))</formula>
    </cfRule>
    <cfRule type="containsText" dxfId="1390" priority="1418" operator="containsText" text="Deferred">
      <formula>NOT(ISERROR(SEARCH("Deferred",E89)))</formula>
    </cfRule>
    <cfRule type="containsText" dxfId="1389" priority="1419" operator="containsText" text="Deleted">
      <formula>NOT(ISERROR(SEARCH("Deleted",E89)))</formula>
    </cfRule>
    <cfRule type="containsText" dxfId="1388" priority="1420" operator="containsText" text="In Danger of Falling Behind Target">
      <formula>NOT(ISERROR(SEARCH("In Danger of Falling Behind Target",E89)))</formula>
    </cfRule>
    <cfRule type="containsText" dxfId="1387" priority="1421" operator="containsText" text="Not yet due">
      <formula>NOT(ISERROR(SEARCH("Not yet due",E89)))</formula>
    </cfRule>
    <cfRule type="containsText" dxfId="1386" priority="1422" operator="containsText" text="Completed Behind Schedule">
      <formula>NOT(ISERROR(SEARCH("Completed Behind Schedule",E89)))</formula>
    </cfRule>
    <cfRule type="containsText" dxfId="1385" priority="1423" operator="containsText" text="Off Target">
      <formula>NOT(ISERROR(SEARCH("Off Target",E89)))</formula>
    </cfRule>
    <cfRule type="containsText" dxfId="1384" priority="1424" operator="containsText" text="In Danger of Falling Behind Target">
      <formula>NOT(ISERROR(SEARCH("In Danger of Falling Behind Target",E89)))</formula>
    </cfRule>
    <cfRule type="containsText" dxfId="1383" priority="1425" operator="containsText" text="On Track to be Achieved">
      <formula>NOT(ISERROR(SEARCH("On Track to be Achieved",E89)))</formula>
    </cfRule>
    <cfRule type="containsText" dxfId="1382" priority="1426" operator="containsText" text="Fully Achieved">
      <formula>NOT(ISERROR(SEARCH("Fully Achieved",E89)))</formula>
    </cfRule>
    <cfRule type="containsText" dxfId="1381" priority="1427" operator="containsText" text="Update not Provided">
      <formula>NOT(ISERROR(SEARCH("Update not Provided",E89)))</formula>
    </cfRule>
    <cfRule type="containsText" dxfId="1380" priority="1428" operator="containsText" text="Not yet due">
      <formula>NOT(ISERROR(SEARCH("Not yet due",E89)))</formula>
    </cfRule>
    <cfRule type="containsText" dxfId="1379" priority="1429" operator="containsText" text="Completed Behind Schedule">
      <formula>NOT(ISERROR(SEARCH("Completed Behind Schedule",E89)))</formula>
    </cfRule>
    <cfRule type="containsText" dxfId="1378" priority="1430" operator="containsText" text="Off Target">
      <formula>NOT(ISERROR(SEARCH("Off Target",E89)))</formula>
    </cfRule>
    <cfRule type="containsText" dxfId="1377" priority="1431" operator="containsText" text="In Danger of Falling Behind Target">
      <formula>NOT(ISERROR(SEARCH("In Danger of Falling Behind Target",E89)))</formula>
    </cfRule>
    <cfRule type="containsText" dxfId="1376" priority="1432" operator="containsText" text="On Track to be Achieved">
      <formula>NOT(ISERROR(SEARCH("On Track to be Achieved",E89)))</formula>
    </cfRule>
    <cfRule type="containsText" dxfId="1375" priority="1433" operator="containsText" text="Fully Achieved">
      <formula>NOT(ISERROR(SEARCH("Fully Achieved",E89)))</formula>
    </cfRule>
    <cfRule type="containsText" dxfId="1374" priority="1434" operator="containsText" text="Fully Achieved">
      <formula>NOT(ISERROR(SEARCH("Fully Achieved",E89)))</formula>
    </cfRule>
    <cfRule type="containsText" dxfId="1373" priority="1435" operator="containsText" text="Fully Achieved">
      <formula>NOT(ISERROR(SEARCH("Fully Achieved",E89)))</formula>
    </cfRule>
    <cfRule type="containsText" dxfId="1372" priority="1436" operator="containsText" text="Deferred">
      <formula>NOT(ISERROR(SEARCH("Deferred",E89)))</formula>
    </cfRule>
    <cfRule type="containsText" dxfId="1371" priority="1437" operator="containsText" text="Deleted">
      <formula>NOT(ISERROR(SEARCH("Deleted",E89)))</formula>
    </cfRule>
    <cfRule type="containsText" dxfId="1370" priority="1438" operator="containsText" text="In Danger of Falling Behind Target">
      <formula>NOT(ISERROR(SEARCH("In Danger of Falling Behind Target",E89)))</formula>
    </cfRule>
    <cfRule type="containsText" dxfId="1369" priority="1439" operator="containsText" text="Not yet due">
      <formula>NOT(ISERROR(SEARCH("Not yet due",E89)))</formula>
    </cfRule>
    <cfRule type="containsText" dxfId="1368" priority="1440" operator="containsText" text="Update not Provided">
      <formula>NOT(ISERROR(SEARCH("Update not Provided",E89)))</formula>
    </cfRule>
  </conditionalFormatting>
  <conditionalFormatting sqref="E122">
    <cfRule type="containsText" dxfId="1367" priority="1369" operator="containsText" text="On track to be achieved">
      <formula>NOT(ISERROR(SEARCH("On track to be achieved",E122)))</formula>
    </cfRule>
    <cfRule type="containsText" dxfId="1366" priority="1370" operator="containsText" text="Deferred">
      <formula>NOT(ISERROR(SEARCH("Deferred",E122)))</formula>
    </cfRule>
    <cfRule type="containsText" dxfId="1365" priority="1371" operator="containsText" text="Deleted">
      <formula>NOT(ISERROR(SEARCH("Deleted",E122)))</formula>
    </cfRule>
    <cfRule type="containsText" dxfId="1364" priority="1372" operator="containsText" text="In Danger of Falling Behind Target">
      <formula>NOT(ISERROR(SEARCH("In Danger of Falling Behind Target",E122)))</formula>
    </cfRule>
    <cfRule type="containsText" dxfId="1363" priority="1373" operator="containsText" text="Not yet due">
      <formula>NOT(ISERROR(SEARCH("Not yet due",E122)))</formula>
    </cfRule>
    <cfRule type="containsText" dxfId="1362" priority="1374" operator="containsText" text="Update not Provided">
      <formula>NOT(ISERROR(SEARCH("Update not Provided",E122)))</formula>
    </cfRule>
    <cfRule type="containsText" dxfId="1361" priority="1375" operator="containsText" text="Not yet due">
      <formula>NOT(ISERROR(SEARCH("Not yet due",E122)))</formula>
    </cfRule>
    <cfRule type="containsText" dxfId="1360" priority="1376" operator="containsText" text="Completed Behind Schedule">
      <formula>NOT(ISERROR(SEARCH("Completed Behind Schedule",E122)))</formula>
    </cfRule>
    <cfRule type="containsText" dxfId="1359" priority="1377" operator="containsText" text="Off Target">
      <formula>NOT(ISERROR(SEARCH("Off Target",E122)))</formula>
    </cfRule>
    <cfRule type="containsText" dxfId="1358" priority="1378" operator="containsText" text="On Track to be Achieved">
      <formula>NOT(ISERROR(SEARCH("On Track to be Achieved",E122)))</formula>
    </cfRule>
    <cfRule type="containsText" dxfId="1357" priority="1379" operator="containsText" text="Fully Achieved">
      <formula>NOT(ISERROR(SEARCH("Fully Achieved",E122)))</formula>
    </cfRule>
    <cfRule type="containsText" dxfId="1356" priority="1380" operator="containsText" text="Not yet due">
      <formula>NOT(ISERROR(SEARCH("Not yet due",E122)))</formula>
    </cfRule>
    <cfRule type="containsText" dxfId="1355" priority="1381" operator="containsText" text="Not Yet Due">
      <formula>NOT(ISERROR(SEARCH("Not Yet Due",E122)))</formula>
    </cfRule>
    <cfRule type="containsText" dxfId="1354" priority="1382" operator="containsText" text="Deferred">
      <formula>NOT(ISERROR(SEARCH("Deferred",E122)))</formula>
    </cfRule>
    <cfRule type="containsText" dxfId="1353" priority="1383" operator="containsText" text="Deleted">
      <formula>NOT(ISERROR(SEARCH("Deleted",E122)))</formula>
    </cfRule>
    <cfRule type="containsText" dxfId="1352" priority="1384" operator="containsText" text="In Danger of Falling Behind Target">
      <formula>NOT(ISERROR(SEARCH("In Danger of Falling Behind Target",E122)))</formula>
    </cfRule>
    <cfRule type="containsText" dxfId="1351" priority="1385" operator="containsText" text="Not yet due">
      <formula>NOT(ISERROR(SEARCH("Not yet due",E122)))</formula>
    </cfRule>
    <cfRule type="containsText" dxfId="1350" priority="1386" operator="containsText" text="Completed Behind Schedule">
      <formula>NOT(ISERROR(SEARCH("Completed Behind Schedule",E122)))</formula>
    </cfRule>
    <cfRule type="containsText" dxfId="1349" priority="1387" operator="containsText" text="Off Target">
      <formula>NOT(ISERROR(SEARCH("Off Target",E122)))</formula>
    </cfRule>
    <cfRule type="containsText" dxfId="1348" priority="1388" operator="containsText" text="In Danger of Falling Behind Target">
      <formula>NOT(ISERROR(SEARCH("In Danger of Falling Behind Target",E122)))</formula>
    </cfRule>
    <cfRule type="containsText" dxfId="1347" priority="1389" operator="containsText" text="On Track to be Achieved">
      <formula>NOT(ISERROR(SEARCH("On Track to be Achieved",E122)))</formula>
    </cfRule>
    <cfRule type="containsText" dxfId="1346" priority="1390" operator="containsText" text="Fully Achieved">
      <formula>NOT(ISERROR(SEARCH("Fully Achieved",E122)))</formula>
    </cfRule>
    <cfRule type="containsText" dxfId="1345" priority="1391" operator="containsText" text="Update not Provided">
      <formula>NOT(ISERROR(SEARCH("Update not Provided",E122)))</formula>
    </cfRule>
    <cfRule type="containsText" dxfId="1344" priority="1392" operator="containsText" text="Not yet due">
      <formula>NOT(ISERROR(SEARCH("Not yet due",E122)))</formula>
    </cfRule>
    <cfRule type="containsText" dxfId="1343" priority="1393" operator="containsText" text="Completed Behind Schedule">
      <formula>NOT(ISERROR(SEARCH("Completed Behind Schedule",E122)))</formula>
    </cfRule>
    <cfRule type="containsText" dxfId="1342" priority="1394" operator="containsText" text="Off Target">
      <formula>NOT(ISERROR(SEARCH("Off Target",E122)))</formula>
    </cfRule>
    <cfRule type="containsText" dxfId="1341" priority="1395" operator="containsText" text="In Danger of Falling Behind Target">
      <formula>NOT(ISERROR(SEARCH("In Danger of Falling Behind Target",E122)))</formula>
    </cfRule>
    <cfRule type="containsText" dxfId="1340" priority="1396" operator="containsText" text="On Track to be Achieved">
      <formula>NOT(ISERROR(SEARCH("On Track to be Achieved",E122)))</formula>
    </cfRule>
    <cfRule type="containsText" dxfId="1339" priority="1397" operator="containsText" text="Fully Achieved">
      <formula>NOT(ISERROR(SEARCH("Fully Achieved",E122)))</formula>
    </cfRule>
    <cfRule type="containsText" dxfId="1338" priority="1398" operator="containsText" text="Fully Achieved">
      <formula>NOT(ISERROR(SEARCH("Fully Achieved",E122)))</formula>
    </cfRule>
    <cfRule type="containsText" dxfId="1337" priority="1399" operator="containsText" text="Fully Achieved">
      <formula>NOT(ISERROR(SEARCH("Fully Achieved",E122)))</formula>
    </cfRule>
    <cfRule type="containsText" dxfId="1336" priority="1400" operator="containsText" text="Deferred">
      <formula>NOT(ISERROR(SEARCH("Deferred",E122)))</formula>
    </cfRule>
    <cfRule type="containsText" dxfId="1335" priority="1401" operator="containsText" text="Deleted">
      <formula>NOT(ISERROR(SEARCH("Deleted",E122)))</formula>
    </cfRule>
    <cfRule type="containsText" dxfId="1334" priority="1402" operator="containsText" text="In Danger of Falling Behind Target">
      <formula>NOT(ISERROR(SEARCH("In Danger of Falling Behind Target",E122)))</formula>
    </cfRule>
    <cfRule type="containsText" dxfId="1333" priority="1403" operator="containsText" text="Not yet due">
      <formula>NOT(ISERROR(SEARCH("Not yet due",E122)))</formula>
    </cfRule>
    <cfRule type="containsText" dxfId="1332" priority="1404" operator="containsText" text="Update not Provided">
      <formula>NOT(ISERROR(SEARCH("Update not Provided",E122)))</formula>
    </cfRule>
  </conditionalFormatting>
  <conditionalFormatting sqref="E8">
    <cfRule type="containsText" dxfId="1331" priority="1333" operator="containsText" text="On track to be achieved">
      <formula>NOT(ISERROR(SEARCH("On track to be achieved",E8)))</formula>
    </cfRule>
    <cfRule type="containsText" dxfId="1330" priority="1334" operator="containsText" text="Deferred">
      <formula>NOT(ISERROR(SEARCH("Deferred",E8)))</formula>
    </cfRule>
    <cfRule type="containsText" dxfId="1329" priority="1335" operator="containsText" text="Deleted">
      <formula>NOT(ISERROR(SEARCH("Deleted",E8)))</formula>
    </cfRule>
    <cfRule type="containsText" dxfId="1328" priority="1336" operator="containsText" text="In Danger of Falling Behind Target">
      <formula>NOT(ISERROR(SEARCH("In Danger of Falling Behind Target",E8)))</formula>
    </cfRule>
    <cfRule type="containsText" dxfId="1327" priority="1337" operator="containsText" text="Not yet due">
      <formula>NOT(ISERROR(SEARCH("Not yet due",E8)))</formula>
    </cfRule>
    <cfRule type="containsText" dxfId="1326" priority="1338" operator="containsText" text="Update not Provided">
      <formula>NOT(ISERROR(SEARCH("Update not Provided",E8)))</formula>
    </cfRule>
    <cfRule type="containsText" dxfId="1325" priority="1339" operator="containsText" text="Not yet due">
      <formula>NOT(ISERROR(SEARCH("Not yet due",E8)))</formula>
    </cfRule>
    <cfRule type="containsText" dxfId="1324" priority="1340" operator="containsText" text="Completed Behind Schedule">
      <formula>NOT(ISERROR(SEARCH("Completed Behind Schedule",E8)))</formula>
    </cfRule>
    <cfRule type="containsText" dxfId="1323" priority="1341" operator="containsText" text="Off Target">
      <formula>NOT(ISERROR(SEARCH("Off Target",E8)))</formula>
    </cfRule>
    <cfRule type="containsText" dxfId="1322" priority="1342" operator="containsText" text="On Track to be Achieved">
      <formula>NOT(ISERROR(SEARCH("On Track to be Achieved",E8)))</formula>
    </cfRule>
    <cfRule type="containsText" dxfId="1321" priority="1343" operator="containsText" text="Fully Achieved">
      <formula>NOT(ISERROR(SEARCH("Fully Achieved",E8)))</formula>
    </cfRule>
    <cfRule type="containsText" dxfId="1320" priority="1344" operator="containsText" text="Not yet due">
      <formula>NOT(ISERROR(SEARCH("Not yet due",E8)))</formula>
    </cfRule>
    <cfRule type="containsText" dxfId="1319" priority="1345" operator="containsText" text="Not Yet Due">
      <formula>NOT(ISERROR(SEARCH("Not Yet Due",E8)))</formula>
    </cfRule>
    <cfRule type="containsText" dxfId="1318" priority="1346" operator="containsText" text="Deferred">
      <formula>NOT(ISERROR(SEARCH("Deferred",E8)))</formula>
    </cfRule>
    <cfRule type="containsText" dxfId="1317" priority="1347" operator="containsText" text="Deleted">
      <formula>NOT(ISERROR(SEARCH("Deleted",E8)))</formula>
    </cfRule>
    <cfRule type="containsText" dxfId="1316" priority="1348" operator="containsText" text="In Danger of Falling Behind Target">
      <formula>NOT(ISERROR(SEARCH("In Danger of Falling Behind Target",E8)))</formula>
    </cfRule>
    <cfRule type="containsText" dxfId="1315" priority="1349" operator="containsText" text="Not yet due">
      <formula>NOT(ISERROR(SEARCH("Not yet due",E8)))</formula>
    </cfRule>
    <cfRule type="containsText" dxfId="1314" priority="1350" operator="containsText" text="Completed Behind Schedule">
      <formula>NOT(ISERROR(SEARCH("Completed Behind Schedule",E8)))</formula>
    </cfRule>
    <cfRule type="containsText" dxfId="1313" priority="1351" operator="containsText" text="Off Target">
      <formula>NOT(ISERROR(SEARCH("Off Target",E8)))</formula>
    </cfRule>
    <cfRule type="containsText" dxfId="1312" priority="1352" operator="containsText" text="In Danger of Falling Behind Target">
      <formula>NOT(ISERROR(SEARCH("In Danger of Falling Behind Target",E8)))</formula>
    </cfRule>
    <cfRule type="containsText" dxfId="1311" priority="1353" operator="containsText" text="On Track to be Achieved">
      <formula>NOT(ISERROR(SEARCH("On Track to be Achieved",E8)))</formula>
    </cfRule>
    <cfRule type="containsText" dxfId="1310" priority="1354" operator="containsText" text="Fully Achieved">
      <formula>NOT(ISERROR(SEARCH("Fully Achieved",E8)))</formula>
    </cfRule>
    <cfRule type="containsText" dxfId="1309" priority="1355" operator="containsText" text="Update not Provided">
      <formula>NOT(ISERROR(SEARCH("Update not Provided",E8)))</formula>
    </cfRule>
    <cfRule type="containsText" dxfId="1308" priority="1356" operator="containsText" text="Not yet due">
      <formula>NOT(ISERROR(SEARCH("Not yet due",E8)))</formula>
    </cfRule>
    <cfRule type="containsText" dxfId="1307" priority="1357" operator="containsText" text="Completed Behind Schedule">
      <formula>NOT(ISERROR(SEARCH("Completed Behind Schedule",E8)))</formula>
    </cfRule>
    <cfRule type="containsText" dxfId="1306" priority="1358" operator="containsText" text="Off Target">
      <formula>NOT(ISERROR(SEARCH("Off Target",E8)))</formula>
    </cfRule>
    <cfRule type="containsText" dxfId="1305" priority="1359" operator="containsText" text="In Danger of Falling Behind Target">
      <formula>NOT(ISERROR(SEARCH("In Danger of Falling Behind Target",E8)))</formula>
    </cfRule>
    <cfRule type="containsText" dxfId="1304" priority="1360" operator="containsText" text="On Track to be Achieved">
      <formula>NOT(ISERROR(SEARCH("On Track to be Achieved",E8)))</formula>
    </cfRule>
    <cfRule type="containsText" dxfId="1303" priority="1361" operator="containsText" text="Fully Achieved">
      <formula>NOT(ISERROR(SEARCH("Fully Achieved",E8)))</formula>
    </cfRule>
    <cfRule type="containsText" dxfId="1302" priority="1362" operator="containsText" text="Fully Achieved">
      <formula>NOT(ISERROR(SEARCH("Fully Achieved",E8)))</formula>
    </cfRule>
    <cfRule type="containsText" dxfId="1301" priority="1363" operator="containsText" text="Fully Achieved">
      <formula>NOT(ISERROR(SEARCH("Fully Achieved",E8)))</formula>
    </cfRule>
    <cfRule type="containsText" dxfId="1300" priority="1364" operator="containsText" text="Deferred">
      <formula>NOT(ISERROR(SEARCH("Deferred",E8)))</formula>
    </cfRule>
    <cfRule type="containsText" dxfId="1299" priority="1365" operator="containsText" text="Deleted">
      <formula>NOT(ISERROR(SEARCH("Deleted",E8)))</formula>
    </cfRule>
    <cfRule type="containsText" dxfId="1298" priority="1366" operator="containsText" text="In Danger of Falling Behind Target">
      <formula>NOT(ISERROR(SEARCH("In Danger of Falling Behind Target",E8)))</formula>
    </cfRule>
    <cfRule type="containsText" dxfId="1297" priority="1367" operator="containsText" text="Not yet due">
      <formula>NOT(ISERROR(SEARCH("Not yet due",E8)))</formula>
    </cfRule>
    <cfRule type="containsText" dxfId="1296" priority="1368" operator="containsText" text="Update not Provided">
      <formula>NOT(ISERROR(SEARCH("Update not Provided",E8)))</formula>
    </cfRule>
  </conditionalFormatting>
  <conditionalFormatting sqref="G4:G26 G28:G29">
    <cfRule type="containsText" dxfId="1295" priority="1297" operator="containsText" text="On track to be achieved">
      <formula>NOT(ISERROR(SEARCH("On track to be achieved",G4)))</formula>
    </cfRule>
    <cfRule type="containsText" dxfId="1294" priority="1298" operator="containsText" text="Deferred">
      <formula>NOT(ISERROR(SEARCH("Deferred",G4)))</formula>
    </cfRule>
    <cfRule type="containsText" dxfId="1293" priority="1299" operator="containsText" text="Deleted">
      <formula>NOT(ISERROR(SEARCH("Deleted",G4)))</formula>
    </cfRule>
    <cfRule type="containsText" dxfId="1292" priority="1300" operator="containsText" text="In Danger of Falling Behind Target">
      <formula>NOT(ISERROR(SEARCH("In Danger of Falling Behind Target",G4)))</formula>
    </cfRule>
    <cfRule type="containsText" dxfId="1291" priority="1301" operator="containsText" text="Not yet due">
      <formula>NOT(ISERROR(SEARCH("Not yet due",G4)))</formula>
    </cfRule>
    <cfRule type="containsText" dxfId="1290" priority="1302" operator="containsText" text="Update not Provided">
      <formula>NOT(ISERROR(SEARCH("Update not Provided",G4)))</formula>
    </cfRule>
    <cfRule type="containsText" dxfId="1289" priority="1303" operator="containsText" text="Not yet due">
      <formula>NOT(ISERROR(SEARCH("Not yet due",G4)))</formula>
    </cfRule>
    <cfRule type="containsText" dxfId="1288" priority="1304" operator="containsText" text="Completed Behind Schedule">
      <formula>NOT(ISERROR(SEARCH("Completed Behind Schedule",G4)))</formula>
    </cfRule>
    <cfRule type="containsText" dxfId="1287" priority="1305" operator="containsText" text="Off Target">
      <formula>NOT(ISERROR(SEARCH("Off Target",G4)))</formula>
    </cfRule>
    <cfRule type="containsText" dxfId="1286" priority="1306" operator="containsText" text="On Track to be Achieved">
      <formula>NOT(ISERROR(SEARCH("On Track to be Achieved",G4)))</formula>
    </cfRule>
    <cfRule type="containsText" dxfId="1285" priority="1307" operator="containsText" text="Fully Achieved">
      <formula>NOT(ISERROR(SEARCH("Fully Achieved",G4)))</formula>
    </cfRule>
    <cfRule type="containsText" dxfId="1284" priority="1308" operator="containsText" text="Not yet due">
      <formula>NOT(ISERROR(SEARCH("Not yet due",G4)))</formula>
    </cfRule>
    <cfRule type="containsText" dxfId="1283" priority="1309" operator="containsText" text="Not Yet Due">
      <formula>NOT(ISERROR(SEARCH("Not Yet Due",G4)))</formula>
    </cfRule>
    <cfRule type="containsText" dxfId="1282" priority="1310" operator="containsText" text="Deferred">
      <formula>NOT(ISERROR(SEARCH("Deferred",G4)))</formula>
    </cfRule>
    <cfRule type="containsText" dxfId="1281" priority="1311" operator="containsText" text="Deleted">
      <formula>NOT(ISERROR(SEARCH("Deleted",G4)))</formula>
    </cfRule>
    <cfRule type="containsText" dxfId="1280" priority="1312" operator="containsText" text="In Danger of Falling Behind Target">
      <formula>NOT(ISERROR(SEARCH("In Danger of Falling Behind Target",G4)))</formula>
    </cfRule>
    <cfRule type="containsText" dxfId="1279" priority="1313" operator="containsText" text="Not yet due">
      <formula>NOT(ISERROR(SEARCH("Not yet due",G4)))</formula>
    </cfRule>
    <cfRule type="containsText" dxfId="1278" priority="1314" operator="containsText" text="Completed Behind Schedule">
      <formula>NOT(ISERROR(SEARCH("Completed Behind Schedule",G4)))</formula>
    </cfRule>
    <cfRule type="containsText" dxfId="1277" priority="1315" operator="containsText" text="Off Target">
      <formula>NOT(ISERROR(SEARCH("Off Target",G4)))</formula>
    </cfRule>
    <cfRule type="containsText" dxfId="1276" priority="1316" operator="containsText" text="In Danger of Falling Behind Target">
      <formula>NOT(ISERROR(SEARCH("In Danger of Falling Behind Target",G4)))</formula>
    </cfRule>
    <cfRule type="containsText" dxfId="1275" priority="1317" operator="containsText" text="On Track to be Achieved">
      <formula>NOT(ISERROR(SEARCH("On Track to be Achieved",G4)))</formula>
    </cfRule>
    <cfRule type="containsText" dxfId="1274" priority="1318" operator="containsText" text="Fully Achieved">
      <formula>NOT(ISERROR(SEARCH("Fully Achieved",G4)))</formula>
    </cfRule>
    <cfRule type="containsText" dxfId="1273" priority="1319" operator="containsText" text="Update not Provided">
      <formula>NOT(ISERROR(SEARCH("Update not Provided",G4)))</formula>
    </cfRule>
    <cfRule type="containsText" dxfId="1272" priority="1320" operator="containsText" text="Not yet due">
      <formula>NOT(ISERROR(SEARCH("Not yet due",G4)))</formula>
    </cfRule>
    <cfRule type="containsText" dxfId="1271" priority="1321" operator="containsText" text="Completed Behind Schedule">
      <formula>NOT(ISERROR(SEARCH("Completed Behind Schedule",G4)))</formula>
    </cfRule>
    <cfRule type="containsText" dxfId="1270" priority="1322" operator="containsText" text="Off Target">
      <formula>NOT(ISERROR(SEARCH("Off Target",G4)))</formula>
    </cfRule>
    <cfRule type="containsText" dxfId="1269" priority="1323" operator="containsText" text="In Danger of Falling Behind Target">
      <formula>NOT(ISERROR(SEARCH("In Danger of Falling Behind Target",G4)))</formula>
    </cfRule>
    <cfRule type="containsText" dxfId="1268" priority="1324" operator="containsText" text="On Track to be Achieved">
      <formula>NOT(ISERROR(SEARCH("On Track to be Achieved",G4)))</formula>
    </cfRule>
    <cfRule type="containsText" dxfId="1267" priority="1325" operator="containsText" text="Fully Achieved">
      <formula>NOT(ISERROR(SEARCH("Fully Achieved",G4)))</formula>
    </cfRule>
    <cfRule type="containsText" dxfId="1266" priority="1326" operator="containsText" text="Fully Achieved">
      <formula>NOT(ISERROR(SEARCH("Fully Achieved",G4)))</formula>
    </cfRule>
    <cfRule type="containsText" dxfId="1265" priority="1327" operator="containsText" text="Fully Achieved">
      <formula>NOT(ISERROR(SEARCH("Fully Achieved",G4)))</formula>
    </cfRule>
    <cfRule type="containsText" dxfId="1264" priority="1328" operator="containsText" text="Deferred">
      <formula>NOT(ISERROR(SEARCH("Deferred",G4)))</formula>
    </cfRule>
    <cfRule type="containsText" dxfId="1263" priority="1329" operator="containsText" text="Deleted">
      <formula>NOT(ISERROR(SEARCH("Deleted",G4)))</formula>
    </cfRule>
    <cfRule type="containsText" dxfId="1262" priority="1330" operator="containsText" text="In Danger of Falling Behind Target">
      <formula>NOT(ISERROR(SEARCH("In Danger of Falling Behind Target",G4)))</formula>
    </cfRule>
    <cfRule type="containsText" dxfId="1261" priority="1331" operator="containsText" text="Not yet due">
      <formula>NOT(ISERROR(SEARCH("Not yet due",G4)))</formula>
    </cfRule>
    <cfRule type="containsText" dxfId="1260" priority="1332" operator="containsText" text="Update not Provided">
      <formula>NOT(ISERROR(SEARCH("Update not Provided",G4)))</formula>
    </cfRule>
  </conditionalFormatting>
  <conditionalFormatting sqref="G30">
    <cfRule type="containsText" dxfId="1259" priority="1261" operator="containsText" text="On track to be achieved">
      <formula>NOT(ISERROR(SEARCH("On track to be achieved",G30)))</formula>
    </cfRule>
    <cfRule type="containsText" dxfId="1258" priority="1262" operator="containsText" text="Deferred">
      <formula>NOT(ISERROR(SEARCH("Deferred",G30)))</formula>
    </cfRule>
    <cfRule type="containsText" dxfId="1257" priority="1263" operator="containsText" text="Deleted">
      <formula>NOT(ISERROR(SEARCH("Deleted",G30)))</formula>
    </cfRule>
    <cfRule type="containsText" dxfId="1256" priority="1264" operator="containsText" text="In Danger of Falling Behind Target">
      <formula>NOT(ISERROR(SEARCH("In Danger of Falling Behind Target",G30)))</formula>
    </cfRule>
    <cfRule type="containsText" dxfId="1255" priority="1265" operator="containsText" text="Not yet due">
      <formula>NOT(ISERROR(SEARCH("Not yet due",G30)))</formula>
    </cfRule>
    <cfRule type="containsText" dxfId="1254" priority="1266" operator="containsText" text="Update not Provided">
      <formula>NOT(ISERROR(SEARCH("Update not Provided",G30)))</formula>
    </cfRule>
    <cfRule type="containsText" dxfId="1253" priority="1267" operator="containsText" text="Not yet due">
      <formula>NOT(ISERROR(SEARCH("Not yet due",G30)))</formula>
    </cfRule>
    <cfRule type="containsText" dxfId="1252" priority="1268" operator="containsText" text="Completed Behind Schedule">
      <formula>NOT(ISERROR(SEARCH("Completed Behind Schedule",G30)))</formula>
    </cfRule>
    <cfRule type="containsText" dxfId="1251" priority="1269" operator="containsText" text="Off Target">
      <formula>NOT(ISERROR(SEARCH("Off Target",G30)))</formula>
    </cfRule>
    <cfRule type="containsText" dxfId="1250" priority="1270" operator="containsText" text="On Track to be Achieved">
      <formula>NOT(ISERROR(SEARCH("On Track to be Achieved",G30)))</formula>
    </cfRule>
    <cfRule type="containsText" dxfId="1249" priority="1271" operator="containsText" text="Fully Achieved">
      <formula>NOT(ISERROR(SEARCH("Fully Achieved",G30)))</formula>
    </cfRule>
    <cfRule type="containsText" dxfId="1248" priority="1272" operator="containsText" text="Not yet due">
      <formula>NOT(ISERROR(SEARCH("Not yet due",G30)))</formula>
    </cfRule>
    <cfRule type="containsText" dxfId="1247" priority="1273" operator="containsText" text="Not Yet Due">
      <formula>NOT(ISERROR(SEARCH("Not Yet Due",G30)))</formula>
    </cfRule>
    <cfRule type="containsText" dxfId="1246" priority="1274" operator="containsText" text="Deferred">
      <formula>NOT(ISERROR(SEARCH("Deferred",G30)))</formula>
    </cfRule>
    <cfRule type="containsText" dxfId="1245" priority="1275" operator="containsText" text="Deleted">
      <formula>NOT(ISERROR(SEARCH("Deleted",G30)))</formula>
    </cfRule>
    <cfRule type="containsText" dxfId="1244" priority="1276" operator="containsText" text="In Danger of Falling Behind Target">
      <formula>NOT(ISERROR(SEARCH("In Danger of Falling Behind Target",G30)))</formula>
    </cfRule>
    <cfRule type="containsText" dxfId="1243" priority="1277" operator="containsText" text="Not yet due">
      <formula>NOT(ISERROR(SEARCH("Not yet due",G30)))</formula>
    </cfRule>
    <cfRule type="containsText" dxfId="1242" priority="1278" operator="containsText" text="Completed Behind Schedule">
      <formula>NOT(ISERROR(SEARCH("Completed Behind Schedule",G30)))</formula>
    </cfRule>
    <cfRule type="containsText" dxfId="1241" priority="1279" operator="containsText" text="Off Target">
      <formula>NOT(ISERROR(SEARCH("Off Target",G30)))</formula>
    </cfRule>
    <cfRule type="containsText" dxfId="1240" priority="1280" operator="containsText" text="In Danger of Falling Behind Target">
      <formula>NOT(ISERROR(SEARCH("In Danger of Falling Behind Target",G30)))</formula>
    </cfRule>
    <cfRule type="containsText" dxfId="1239" priority="1281" operator="containsText" text="On Track to be Achieved">
      <formula>NOT(ISERROR(SEARCH("On Track to be Achieved",G30)))</formula>
    </cfRule>
    <cfRule type="containsText" dxfId="1238" priority="1282" operator="containsText" text="Fully Achieved">
      <formula>NOT(ISERROR(SEARCH("Fully Achieved",G30)))</formula>
    </cfRule>
    <cfRule type="containsText" dxfId="1237" priority="1283" operator="containsText" text="Update not Provided">
      <formula>NOT(ISERROR(SEARCH("Update not Provided",G30)))</formula>
    </cfRule>
    <cfRule type="containsText" dxfId="1236" priority="1284" operator="containsText" text="Not yet due">
      <formula>NOT(ISERROR(SEARCH("Not yet due",G30)))</formula>
    </cfRule>
    <cfRule type="containsText" dxfId="1235" priority="1285" operator="containsText" text="Completed Behind Schedule">
      <formula>NOT(ISERROR(SEARCH("Completed Behind Schedule",G30)))</formula>
    </cfRule>
    <cfRule type="containsText" dxfId="1234" priority="1286" operator="containsText" text="Off Target">
      <formula>NOT(ISERROR(SEARCH("Off Target",G30)))</formula>
    </cfRule>
    <cfRule type="containsText" dxfId="1233" priority="1287" operator="containsText" text="In Danger of Falling Behind Target">
      <formula>NOT(ISERROR(SEARCH("In Danger of Falling Behind Target",G30)))</formula>
    </cfRule>
    <cfRule type="containsText" dxfId="1232" priority="1288" operator="containsText" text="On Track to be Achieved">
      <formula>NOT(ISERROR(SEARCH("On Track to be Achieved",G30)))</formula>
    </cfRule>
    <cfRule type="containsText" dxfId="1231" priority="1289" operator="containsText" text="Fully Achieved">
      <formula>NOT(ISERROR(SEARCH("Fully Achieved",G30)))</formula>
    </cfRule>
    <cfRule type="containsText" dxfId="1230" priority="1290" operator="containsText" text="Fully Achieved">
      <formula>NOT(ISERROR(SEARCH("Fully Achieved",G30)))</formula>
    </cfRule>
    <cfRule type="containsText" dxfId="1229" priority="1291" operator="containsText" text="Fully Achieved">
      <formula>NOT(ISERROR(SEARCH("Fully Achieved",G30)))</formula>
    </cfRule>
    <cfRule type="containsText" dxfId="1228" priority="1292" operator="containsText" text="Deferred">
      <formula>NOT(ISERROR(SEARCH("Deferred",G30)))</formula>
    </cfRule>
    <cfRule type="containsText" dxfId="1227" priority="1293" operator="containsText" text="Deleted">
      <formula>NOT(ISERROR(SEARCH("Deleted",G30)))</formula>
    </cfRule>
    <cfRule type="containsText" dxfId="1226" priority="1294" operator="containsText" text="In Danger of Falling Behind Target">
      <formula>NOT(ISERROR(SEARCH("In Danger of Falling Behind Target",G30)))</formula>
    </cfRule>
    <cfRule type="containsText" dxfId="1225" priority="1295" operator="containsText" text="Not yet due">
      <formula>NOT(ISERROR(SEARCH("Not yet due",G30)))</formula>
    </cfRule>
    <cfRule type="containsText" dxfId="1224" priority="1296" operator="containsText" text="Update not Provided">
      <formula>NOT(ISERROR(SEARCH("Update not Provided",G30)))</formula>
    </cfRule>
  </conditionalFormatting>
  <conditionalFormatting sqref="G31:G38">
    <cfRule type="containsText" dxfId="1223" priority="1225" operator="containsText" text="On track to be achieved">
      <formula>NOT(ISERROR(SEARCH("On track to be achieved",G31)))</formula>
    </cfRule>
    <cfRule type="containsText" dxfId="1222" priority="1226" operator="containsText" text="Deferred">
      <formula>NOT(ISERROR(SEARCH("Deferred",G31)))</formula>
    </cfRule>
    <cfRule type="containsText" dxfId="1221" priority="1227" operator="containsText" text="Deleted">
      <formula>NOT(ISERROR(SEARCH("Deleted",G31)))</formula>
    </cfRule>
    <cfRule type="containsText" dxfId="1220" priority="1228" operator="containsText" text="In Danger of Falling Behind Target">
      <formula>NOT(ISERROR(SEARCH("In Danger of Falling Behind Target",G31)))</formula>
    </cfRule>
    <cfRule type="containsText" dxfId="1219" priority="1229" operator="containsText" text="Not yet due">
      <formula>NOT(ISERROR(SEARCH("Not yet due",G31)))</formula>
    </cfRule>
    <cfRule type="containsText" dxfId="1218" priority="1230" operator="containsText" text="Update not Provided">
      <formula>NOT(ISERROR(SEARCH("Update not Provided",G31)))</formula>
    </cfRule>
    <cfRule type="containsText" dxfId="1217" priority="1231" operator="containsText" text="Not yet due">
      <formula>NOT(ISERROR(SEARCH("Not yet due",G31)))</formula>
    </cfRule>
    <cfRule type="containsText" dxfId="1216" priority="1232" operator="containsText" text="Completed Behind Schedule">
      <formula>NOT(ISERROR(SEARCH("Completed Behind Schedule",G31)))</formula>
    </cfRule>
    <cfRule type="containsText" dxfId="1215" priority="1233" operator="containsText" text="Off Target">
      <formula>NOT(ISERROR(SEARCH("Off Target",G31)))</formula>
    </cfRule>
    <cfRule type="containsText" dxfId="1214" priority="1234" operator="containsText" text="On Track to be Achieved">
      <formula>NOT(ISERROR(SEARCH("On Track to be Achieved",G31)))</formula>
    </cfRule>
    <cfRule type="containsText" dxfId="1213" priority="1235" operator="containsText" text="Fully Achieved">
      <formula>NOT(ISERROR(SEARCH("Fully Achieved",G31)))</formula>
    </cfRule>
    <cfRule type="containsText" dxfId="1212" priority="1236" operator="containsText" text="Not yet due">
      <formula>NOT(ISERROR(SEARCH("Not yet due",G31)))</formula>
    </cfRule>
    <cfRule type="containsText" dxfId="1211" priority="1237" operator="containsText" text="Not Yet Due">
      <formula>NOT(ISERROR(SEARCH("Not Yet Due",G31)))</formula>
    </cfRule>
    <cfRule type="containsText" dxfId="1210" priority="1238" operator="containsText" text="Deferred">
      <formula>NOT(ISERROR(SEARCH("Deferred",G31)))</formula>
    </cfRule>
    <cfRule type="containsText" dxfId="1209" priority="1239" operator="containsText" text="Deleted">
      <formula>NOT(ISERROR(SEARCH("Deleted",G31)))</formula>
    </cfRule>
    <cfRule type="containsText" dxfId="1208" priority="1240" operator="containsText" text="In Danger of Falling Behind Target">
      <formula>NOT(ISERROR(SEARCH("In Danger of Falling Behind Target",G31)))</formula>
    </cfRule>
    <cfRule type="containsText" dxfId="1207" priority="1241" operator="containsText" text="Not yet due">
      <formula>NOT(ISERROR(SEARCH("Not yet due",G31)))</formula>
    </cfRule>
    <cfRule type="containsText" dxfId="1206" priority="1242" operator="containsText" text="Completed Behind Schedule">
      <formula>NOT(ISERROR(SEARCH("Completed Behind Schedule",G31)))</formula>
    </cfRule>
    <cfRule type="containsText" dxfId="1205" priority="1243" operator="containsText" text="Off Target">
      <formula>NOT(ISERROR(SEARCH("Off Target",G31)))</formula>
    </cfRule>
    <cfRule type="containsText" dxfId="1204" priority="1244" operator="containsText" text="In Danger of Falling Behind Target">
      <formula>NOT(ISERROR(SEARCH("In Danger of Falling Behind Target",G31)))</formula>
    </cfRule>
    <cfRule type="containsText" dxfId="1203" priority="1245" operator="containsText" text="On Track to be Achieved">
      <formula>NOT(ISERROR(SEARCH("On Track to be Achieved",G31)))</formula>
    </cfRule>
    <cfRule type="containsText" dxfId="1202" priority="1246" operator="containsText" text="Fully Achieved">
      <formula>NOT(ISERROR(SEARCH("Fully Achieved",G31)))</formula>
    </cfRule>
    <cfRule type="containsText" dxfId="1201" priority="1247" operator="containsText" text="Update not Provided">
      <formula>NOT(ISERROR(SEARCH("Update not Provided",G31)))</formula>
    </cfRule>
    <cfRule type="containsText" dxfId="1200" priority="1248" operator="containsText" text="Not yet due">
      <formula>NOT(ISERROR(SEARCH("Not yet due",G31)))</formula>
    </cfRule>
    <cfRule type="containsText" dxfId="1199" priority="1249" operator="containsText" text="Completed Behind Schedule">
      <formula>NOT(ISERROR(SEARCH("Completed Behind Schedule",G31)))</formula>
    </cfRule>
    <cfRule type="containsText" dxfId="1198" priority="1250" operator="containsText" text="Off Target">
      <formula>NOT(ISERROR(SEARCH("Off Target",G31)))</formula>
    </cfRule>
    <cfRule type="containsText" dxfId="1197" priority="1251" operator="containsText" text="In Danger of Falling Behind Target">
      <formula>NOT(ISERROR(SEARCH("In Danger of Falling Behind Target",G31)))</formula>
    </cfRule>
    <cfRule type="containsText" dxfId="1196" priority="1252" operator="containsText" text="On Track to be Achieved">
      <formula>NOT(ISERROR(SEARCH("On Track to be Achieved",G31)))</formula>
    </cfRule>
    <cfRule type="containsText" dxfId="1195" priority="1253" operator="containsText" text="Fully Achieved">
      <formula>NOT(ISERROR(SEARCH("Fully Achieved",G31)))</formula>
    </cfRule>
    <cfRule type="containsText" dxfId="1194" priority="1254" operator="containsText" text="Fully Achieved">
      <formula>NOT(ISERROR(SEARCH("Fully Achieved",G31)))</formula>
    </cfRule>
    <cfRule type="containsText" dxfId="1193" priority="1255" operator="containsText" text="Fully Achieved">
      <formula>NOT(ISERROR(SEARCH("Fully Achieved",G31)))</formula>
    </cfRule>
    <cfRule type="containsText" dxfId="1192" priority="1256" operator="containsText" text="Deferred">
      <formula>NOT(ISERROR(SEARCH("Deferred",G31)))</formula>
    </cfRule>
    <cfRule type="containsText" dxfId="1191" priority="1257" operator="containsText" text="Deleted">
      <formula>NOT(ISERROR(SEARCH("Deleted",G31)))</formula>
    </cfRule>
    <cfRule type="containsText" dxfId="1190" priority="1258" operator="containsText" text="In Danger of Falling Behind Target">
      <formula>NOT(ISERROR(SEARCH("In Danger of Falling Behind Target",G31)))</formula>
    </cfRule>
    <cfRule type="containsText" dxfId="1189" priority="1259" operator="containsText" text="Not yet due">
      <formula>NOT(ISERROR(SEARCH("Not yet due",G31)))</formula>
    </cfRule>
    <cfRule type="containsText" dxfId="1188" priority="1260" operator="containsText" text="Update not Provided">
      <formula>NOT(ISERROR(SEARCH("Update not Provided",G31)))</formula>
    </cfRule>
  </conditionalFormatting>
  <conditionalFormatting sqref="G39:G40">
    <cfRule type="containsText" dxfId="1187" priority="1189" operator="containsText" text="On track to be achieved">
      <formula>NOT(ISERROR(SEARCH("On track to be achieved",G39)))</formula>
    </cfRule>
    <cfRule type="containsText" dxfId="1186" priority="1190" operator="containsText" text="Deferred">
      <formula>NOT(ISERROR(SEARCH("Deferred",G39)))</formula>
    </cfRule>
    <cfRule type="containsText" dxfId="1185" priority="1191" operator="containsText" text="Deleted">
      <formula>NOT(ISERROR(SEARCH("Deleted",G39)))</formula>
    </cfRule>
    <cfRule type="containsText" dxfId="1184" priority="1192" operator="containsText" text="In Danger of Falling Behind Target">
      <formula>NOT(ISERROR(SEARCH("In Danger of Falling Behind Target",G39)))</formula>
    </cfRule>
    <cfRule type="containsText" dxfId="1183" priority="1193" operator="containsText" text="Not yet due">
      <formula>NOT(ISERROR(SEARCH("Not yet due",G39)))</formula>
    </cfRule>
    <cfRule type="containsText" dxfId="1182" priority="1194" operator="containsText" text="Update not Provided">
      <formula>NOT(ISERROR(SEARCH("Update not Provided",G39)))</formula>
    </cfRule>
    <cfRule type="containsText" dxfId="1181" priority="1195" operator="containsText" text="Not yet due">
      <formula>NOT(ISERROR(SEARCH("Not yet due",G39)))</formula>
    </cfRule>
    <cfRule type="containsText" dxfId="1180" priority="1196" operator="containsText" text="Completed Behind Schedule">
      <formula>NOT(ISERROR(SEARCH("Completed Behind Schedule",G39)))</formula>
    </cfRule>
    <cfRule type="containsText" dxfId="1179" priority="1197" operator="containsText" text="Off Target">
      <formula>NOT(ISERROR(SEARCH("Off Target",G39)))</formula>
    </cfRule>
    <cfRule type="containsText" dxfId="1178" priority="1198" operator="containsText" text="On Track to be Achieved">
      <formula>NOT(ISERROR(SEARCH("On Track to be Achieved",G39)))</formula>
    </cfRule>
    <cfRule type="containsText" dxfId="1177" priority="1199" operator="containsText" text="Fully Achieved">
      <formula>NOT(ISERROR(SEARCH("Fully Achieved",G39)))</formula>
    </cfRule>
    <cfRule type="containsText" dxfId="1176" priority="1200" operator="containsText" text="Not yet due">
      <formula>NOT(ISERROR(SEARCH("Not yet due",G39)))</formula>
    </cfRule>
    <cfRule type="containsText" dxfId="1175" priority="1201" operator="containsText" text="Not Yet Due">
      <formula>NOT(ISERROR(SEARCH("Not Yet Due",G39)))</formula>
    </cfRule>
    <cfRule type="containsText" dxfId="1174" priority="1202" operator="containsText" text="Deferred">
      <formula>NOT(ISERROR(SEARCH("Deferred",G39)))</formula>
    </cfRule>
    <cfRule type="containsText" dxfId="1173" priority="1203" operator="containsText" text="Deleted">
      <formula>NOT(ISERROR(SEARCH("Deleted",G39)))</formula>
    </cfRule>
    <cfRule type="containsText" dxfId="1172" priority="1204" operator="containsText" text="In Danger of Falling Behind Target">
      <formula>NOT(ISERROR(SEARCH("In Danger of Falling Behind Target",G39)))</formula>
    </cfRule>
    <cfRule type="containsText" dxfId="1171" priority="1205" operator="containsText" text="Not yet due">
      <formula>NOT(ISERROR(SEARCH("Not yet due",G39)))</formula>
    </cfRule>
    <cfRule type="containsText" dxfId="1170" priority="1206" operator="containsText" text="Completed Behind Schedule">
      <formula>NOT(ISERROR(SEARCH("Completed Behind Schedule",G39)))</formula>
    </cfRule>
    <cfRule type="containsText" dxfId="1169" priority="1207" operator="containsText" text="Off Target">
      <formula>NOT(ISERROR(SEARCH("Off Target",G39)))</formula>
    </cfRule>
    <cfRule type="containsText" dxfId="1168" priority="1208" operator="containsText" text="In Danger of Falling Behind Target">
      <formula>NOT(ISERROR(SEARCH("In Danger of Falling Behind Target",G39)))</formula>
    </cfRule>
    <cfRule type="containsText" dxfId="1167" priority="1209" operator="containsText" text="On Track to be Achieved">
      <formula>NOT(ISERROR(SEARCH("On Track to be Achieved",G39)))</formula>
    </cfRule>
    <cfRule type="containsText" dxfId="1166" priority="1210" operator="containsText" text="Fully Achieved">
      <formula>NOT(ISERROR(SEARCH("Fully Achieved",G39)))</formula>
    </cfRule>
    <cfRule type="containsText" dxfId="1165" priority="1211" operator="containsText" text="Update not Provided">
      <formula>NOT(ISERROR(SEARCH("Update not Provided",G39)))</formula>
    </cfRule>
    <cfRule type="containsText" dxfId="1164" priority="1212" operator="containsText" text="Not yet due">
      <formula>NOT(ISERROR(SEARCH("Not yet due",G39)))</formula>
    </cfRule>
    <cfRule type="containsText" dxfId="1163" priority="1213" operator="containsText" text="Completed Behind Schedule">
      <formula>NOT(ISERROR(SEARCH("Completed Behind Schedule",G39)))</formula>
    </cfRule>
    <cfRule type="containsText" dxfId="1162" priority="1214" operator="containsText" text="Off Target">
      <formula>NOT(ISERROR(SEARCH("Off Target",G39)))</formula>
    </cfRule>
    <cfRule type="containsText" dxfId="1161" priority="1215" operator="containsText" text="In Danger of Falling Behind Target">
      <formula>NOT(ISERROR(SEARCH("In Danger of Falling Behind Target",G39)))</formula>
    </cfRule>
    <cfRule type="containsText" dxfId="1160" priority="1216" operator="containsText" text="On Track to be Achieved">
      <formula>NOT(ISERROR(SEARCH("On Track to be Achieved",G39)))</formula>
    </cfRule>
    <cfRule type="containsText" dxfId="1159" priority="1217" operator="containsText" text="Fully Achieved">
      <formula>NOT(ISERROR(SEARCH("Fully Achieved",G39)))</formula>
    </cfRule>
    <cfRule type="containsText" dxfId="1158" priority="1218" operator="containsText" text="Fully Achieved">
      <formula>NOT(ISERROR(SEARCH("Fully Achieved",G39)))</formula>
    </cfRule>
    <cfRule type="containsText" dxfId="1157" priority="1219" operator="containsText" text="Fully Achieved">
      <formula>NOT(ISERROR(SEARCH("Fully Achieved",G39)))</formula>
    </cfRule>
    <cfRule type="containsText" dxfId="1156" priority="1220" operator="containsText" text="Deferred">
      <formula>NOT(ISERROR(SEARCH("Deferred",G39)))</formula>
    </cfRule>
    <cfRule type="containsText" dxfId="1155" priority="1221" operator="containsText" text="Deleted">
      <formula>NOT(ISERROR(SEARCH("Deleted",G39)))</formula>
    </cfRule>
    <cfRule type="containsText" dxfId="1154" priority="1222" operator="containsText" text="In Danger of Falling Behind Target">
      <formula>NOT(ISERROR(SEARCH("In Danger of Falling Behind Target",G39)))</formula>
    </cfRule>
    <cfRule type="containsText" dxfId="1153" priority="1223" operator="containsText" text="Not yet due">
      <formula>NOT(ISERROR(SEARCH("Not yet due",G39)))</formula>
    </cfRule>
    <cfRule type="containsText" dxfId="1152" priority="1224" operator="containsText" text="Update not Provided">
      <formula>NOT(ISERROR(SEARCH("Update not Provided",G39)))</formula>
    </cfRule>
  </conditionalFormatting>
  <conditionalFormatting sqref="G39:G40">
    <cfRule type="containsText" dxfId="1151" priority="1153" operator="containsText" text="On track to be achieved">
      <formula>NOT(ISERROR(SEARCH("On track to be achieved",G39)))</formula>
    </cfRule>
    <cfRule type="containsText" dxfId="1150" priority="1154" operator="containsText" text="Deferred">
      <formula>NOT(ISERROR(SEARCH("Deferred",G39)))</formula>
    </cfRule>
    <cfRule type="containsText" dxfId="1149" priority="1155" operator="containsText" text="Deleted">
      <formula>NOT(ISERROR(SEARCH("Deleted",G39)))</formula>
    </cfRule>
    <cfRule type="containsText" dxfId="1148" priority="1156" operator="containsText" text="In Danger of Falling Behind Target">
      <formula>NOT(ISERROR(SEARCH("In Danger of Falling Behind Target",G39)))</formula>
    </cfRule>
    <cfRule type="containsText" dxfId="1147" priority="1157" operator="containsText" text="Not yet due">
      <formula>NOT(ISERROR(SEARCH("Not yet due",G39)))</formula>
    </cfRule>
    <cfRule type="containsText" dxfId="1146" priority="1158" operator="containsText" text="Update not Provided">
      <formula>NOT(ISERROR(SEARCH("Update not Provided",G39)))</formula>
    </cfRule>
    <cfRule type="containsText" dxfId="1145" priority="1159" operator="containsText" text="Not yet due">
      <formula>NOT(ISERROR(SEARCH("Not yet due",G39)))</formula>
    </cfRule>
    <cfRule type="containsText" dxfId="1144" priority="1160" operator="containsText" text="Completed Behind Schedule">
      <formula>NOT(ISERROR(SEARCH("Completed Behind Schedule",G39)))</formula>
    </cfRule>
    <cfRule type="containsText" dxfId="1143" priority="1161" operator="containsText" text="Off Target">
      <formula>NOT(ISERROR(SEARCH("Off Target",G39)))</formula>
    </cfRule>
    <cfRule type="containsText" dxfId="1142" priority="1162" operator="containsText" text="On Track to be Achieved">
      <formula>NOT(ISERROR(SEARCH("On Track to be Achieved",G39)))</formula>
    </cfRule>
    <cfRule type="containsText" dxfId="1141" priority="1163" operator="containsText" text="Fully Achieved">
      <formula>NOT(ISERROR(SEARCH("Fully Achieved",G39)))</formula>
    </cfRule>
    <cfRule type="containsText" dxfId="1140" priority="1164" operator="containsText" text="Not yet due">
      <formula>NOT(ISERROR(SEARCH("Not yet due",G39)))</formula>
    </cfRule>
    <cfRule type="containsText" dxfId="1139" priority="1165" operator="containsText" text="Not Yet Due">
      <formula>NOT(ISERROR(SEARCH("Not Yet Due",G39)))</formula>
    </cfRule>
    <cfRule type="containsText" dxfId="1138" priority="1166" operator="containsText" text="Deferred">
      <formula>NOT(ISERROR(SEARCH("Deferred",G39)))</formula>
    </cfRule>
    <cfRule type="containsText" dxfId="1137" priority="1167" operator="containsText" text="Deleted">
      <formula>NOT(ISERROR(SEARCH("Deleted",G39)))</formula>
    </cfRule>
    <cfRule type="containsText" dxfId="1136" priority="1168" operator="containsText" text="In Danger of Falling Behind Target">
      <formula>NOT(ISERROR(SEARCH("In Danger of Falling Behind Target",G39)))</formula>
    </cfRule>
    <cfRule type="containsText" dxfId="1135" priority="1169" operator="containsText" text="Not yet due">
      <formula>NOT(ISERROR(SEARCH("Not yet due",G39)))</formula>
    </cfRule>
    <cfRule type="containsText" dxfId="1134" priority="1170" operator="containsText" text="Completed Behind Schedule">
      <formula>NOT(ISERROR(SEARCH("Completed Behind Schedule",G39)))</formula>
    </cfRule>
    <cfRule type="containsText" dxfId="1133" priority="1171" operator="containsText" text="Off Target">
      <formula>NOT(ISERROR(SEARCH("Off Target",G39)))</formula>
    </cfRule>
    <cfRule type="containsText" dxfId="1132" priority="1172" operator="containsText" text="In Danger of Falling Behind Target">
      <formula>NOT(ISERROR(SEARCH("In Danger of Falling Behind Target",G39)))</formula>
    </cfRule>
    <cfRule type="containsText" dxfId="1131" priority="1173" operator="containsText" text="On Track to be Achieved">
      <formula>NOT(ISERROR(SEARCH("On Track to be Achieved",G39)))</formula>
    </cfRule>
    <cfRule type="containsText" dxfId="1130" priority="1174" operator="containsText" text="Fully Achieved">
      <formula>NOT(ISERROR(SEARCH("Fully Achieved",G39)))</formula>
    </cfRule>
    <cfRule type="containsText" dxfId="1129" priority="1175" operator="containsText" text="Update not Provided">
      <formula>NOT(ISERROR(SEARCH("Update not Provided",G39)))</formula>
    </cfRule>
    <cfRule type="containsText" dxfId="1128" priority="1176" operator="containsText" text="Not yet due">
      <formula>NOT(ISERROR(SEARCH("Not yet due",G39)))</formula>
    </cfRule>
    <cfRule type="containsText" dxfId="1127" priority="1177" operator="containsText" text="Completed Behind Schedule">
      <formula>NOT(ISERROR(SEARCH("Completed Behind Schedule",G39)))</formula>
    </cfRule>
    <cfRule type="containsText" dxfId="1126" priority="1178" operator="containsText" text="Off Target">
      <formula>NOT(ISERROR(SEARCH("Off Target",G39)))</formula>
    </cfRule>
    <cfRule type="containsText" dxfId="1125" priority="1179" operator="containsText" text="In Danger of Falling Behind Target">
      <formula>NOT(ISERROR(SEARCH("In Danger of Falling Behind Target",G39)))</formula>
    </cfRule>
    <cfRule type="containsText" dxfId="1124" priority="1180" operator="containsText" text="On Track to be Achieved">
      <formula>NOT(ISERROR(SEARCH("On Track to be Achieved",G39)))</formula>
    </cfRule>
    <cfRule type="containsText" dxfId="1123" priority="1181" operator="containsText" text="Fully Achieved">
      <formula>NOT(ISERROR(SEARCH("Fully Achieved",G39)))</formula>
    </cfRule>
    <cfRule type="containsText" dxfId="1122" priority="1182" operator="containsText" text="Fully Achieved">
      <formula>NOT(ISERROR(SEARCH("Fully Achieved",G39)))</formula>
    </cfRule>
    <cfRule type="containsText" dxfId="1121" priority="1183" operator="containsText" text="Fully Achieved">
      <formula>NOT(ISERROR(SEARCH("Fully Achieved",G39)))</formula>
    </cfRule>
    <cfRule type="containsText" dxfId="1120" priority="1184" operator="containsText" text="Deferred">
      <formula>NOT(ISERROR(SEARCH("Deferred",G39)))</formula>
    </cfRule>
    <cfRule type="containsText" dxfId="1119" priority="1185" operator="containsText" text="Deleted">
      <formula>NOT(ISERROR(SEARCH("Deleted",G39)))</formula>
    </cfRule>
    <cfRule type="containsText" dxfId="1118" priority="1186" operator="containsText" text="In Danger of Falling Behind Target">
      <formula>NOT(ISERROR(SEARCH("In Danger of Falling Behind Target",G39)))</formula>
    </cfRule>
    <cfRule type="containsText" dxfId="1117" priority="1187" operator="containsText" text="Not yet due">
      <formula>NOT(ISERROR(SEARCH("Not yet due",G39)))</formula>
    </cfRule>
    <cfRule type="containsText" dxfId="1116" priority="1188" operator="containsText" text="Update not Provided">
      <formula>NOT(ISERROR(SEARCH("Update not Provided",G39)))</formula>
    </cfRule>
  </conditionalFormatting>
  <conditionalFormatting sqref="G41:G42">
    <cfRule type="containsText" dxfId="1115" priority="1117" operator="containsText" text="On track to be achieved">
      <formula>NOT(ISERROR(SEARCH("On track to be achieved",G41)))</formula>
    </cfRule>
    <cfRule type="containsText" dxfId="1114" priority="1118" operator="containsText" text="Deferred">
      <formula>NOT(ISERROR(SEARCH("Deferred",G41)))</formula>
    </cfRule>
    <cfRule type="containsText" dxfId="1113" priority="1119" operator="containsText" text="Deleted">
      <formula>NOT(ISERROR(SEARCH("Deleted",G41)))</formula>
    </cfRule>
    <cfRule type="containsText" dxfId="1112" priority="1120" operator="containsText" text="In Danger of Falling Behind Target">
      <formula>NOT(ISERROR(SEARCH("In Danger of Falling Behind Target",G41)))</formula>
    </cfRule>
    <cfRule type="containsText" dxfId="1111" priority="1121" operator="containsText" text="Not yet due">
      <formula>NOT(ISERROR(SEARCH("Not yet due",G41)))</formula>
    </cfRule>
    <cfRule type="containsText" dxfId="1110" priority="1122" operator="containsText" text="Update not Provided">
      <formula>NOT(ISERROR(SEARCH("Update not Provided",G41)))</formula>
    </cfRule>
    <cfRule type="containsText" dxfId="1109" priority="1123" operator="containsText" text="Not yet due">
      <formula>NOT(ISERROR(SEARCH("Not yet due",G41)))</formula>
    </cfRule>
    <cfRule type="containsText" dxfId="1108" priority="1124" operator="containsText" text="Completed Behind Schedule">
      <formula>NOT(ISERROR(SEARCH("Completed Behind Schedule",G41)))</formula>
    </cfRule>
    <cfRule type="containsText" dxfId="1107" priority="1125" operator="containsText" text="Off Target">
      <formula>NOT(ISERROR(SEARCH("Off Target",G41)))</formula>
    </cfRule>
    <cfRule type="containsText" dxfId="1106" priority="1126" operator="containsText" text="On Track to be Achieved">
      <formula>NOT(ISERROR(SEARCH("On Track to be Achieved",G41)))</formula>
    </cfRule>
    <cfRule type="containsText" dxfId="1105" priority="1127" operator="containsText" text="Fully Achieved">
      <formula>NOT(ISERROR(SEARCH("Fully Achieved",G41)))</formula>
    </cfRule>
    <cfRule type="containsText" dxfId="1104" priority="1128" operator="containsText" text="Not yet due">
      <formula>NOT(ISERROR(SEARCH("Not yet due",G41)))</formula>
    </cfRule>
    <cfRule type="containsText" dxfId="1103" priority="1129" operator="containsText" text="Not Yet Due">
      <formula>NOT(ISERROR(SEARCH("Not Yet Due",G41)))</formula>
    </cfRule>
    <cfRule type="containsText" dxfId="1102" priority="1130" operator="containsText" text="Deferred">
      <formula>NOT(ISERROR(SEARCH("Deferred",G41)))</formula>
    </cfRule>
    <cfRule type="containsText" dxfId="1101" priority="1131" operator="containsText" text="Deleted">
      <formula>NOT(ISERROR(SEARCH("Deleted",G41)))</formula>
    </cfRule>
    <cfRule type="containsText" dxfId="1100" priority="1132" operator="containsText" text="In Danger of Falling Behind Target">
      <formula>NOT(ISERROR(SEARCH("In Danger of Falling Behind Target",G41)))</formula>
    </cfRule>
    <cfRule type="containsText" dxfId="1099" priority="1133" operator="containsText" text="Not yet due">
      <formula>NOT(ISERROR(SEARCH("Not yet due",G41)))</formula>
    </cfRule>
    <cfRule type="containsText" dxfId="1098" priority="1134" operator="containsText" text="Completed Behind Schedule">
      <formula>NOT(ISERROR(SEARCH("Completed Behind Schedule",G41)))</formula>
    </cfRule>
    <cfRule type="containsText" dxfId="1097" priority="1135" operator="containsText" text="Off Target">
      <formula>NOT(ISERROR(SEARCH("Off Target",G41)))</formula>
    </cfRule>
    <cfRule type="containsText" dxfId="1096" priority="1136" operator="containsText" text="In Danger of Falling Behind Target">
      <formula>NOT(ISERROR(SEARCH("In Danger of Falling Behind Target",G41)))</formula>
    </cfRule>
    <cfRule type="containsText" dxfId="1095" priority="1137" operator="containsText" text="On Track to be Achieved">
      <formula>NOT(ISERROR(SEARCH("On Track to be Achieved",G41)))</formula>
    </cfRule>
    <cfRule type="containsText" dxfId="1094" priority="1138" operator="containsText" text="Fully Achieved">
      <formula>NOT(ISERROR(SEARCH("Fully Achieved",G41)))</formula>
    </cfRule>
    <cfRule type="containsText" dxfId="1093" priority="1139" operator="containsText" text="Update not Provided">
      <formula>NOT(ISERROR(SEARCH("Update not Provided",G41)))</formula>
    </cfRule>
    <cfRule type="containsText" dxfId="1092" priority="1140" operator="containsText" text="Not yet due">
      <formula>NOT(ISERROR(SEARCH("Not yet due",G41)))</formula>
    </cfRule>
    <cfRule type="containsText" dxfId="1091" priority="1141" operator="containsText" text="Completed Behind Schedule">
      <formula>NOT(ISERROR(SEARCH("Completed Behind Schedule",G41)))</formula>
    </cfRule>
    <cfRule type="containsText" dxfId="1090" priority="1142" operator="containsText" text="Off Target">
      <formula>NOT(ISERROR(SEARCH("Off Target",G41)))</formula>
    </cfRule>
    <cfRule type="containsText" dxfId="1089" priority="1143" operator="containsText" text="In Danger of Falling Behind Target">
      <formula>NOT(ISERROR(SEARCH("In Danger of Falling Behind Target",G41)))</formula>
    </cfRule>
    <cfRule type="containsText" dxfId="1088" priority="1144" operator="containsText" text="On Track to be Achieved">
      <formula>NOT(ISERROR(SEARCH("On Track to be Achieved",G41)))</formula>
    </cfRule>
    <cfRule type="containsText" dxfId="1087" priority="1145" operator="containsText" text="Fully Achieved">
      <formula>NOT(ISERROR(SEARCH("Fully Achieved",G41)))</formula>
    </cfRule>
    <cfRule type="containsText" dxfId="1086" priority="1146" operator="containsText" text="Fully Achieved">
      <formula>NOT(ISERROR(SEARCH("Fully Achieved",G41)))</formula>
    </cfRule>
    <cfRule type="containsText" dxfId="1085" priority="1147" operator="containsText" text="Fully Achieved">
      <formula>NOT(ISERROR(SEARCH("Fully Achieved",G41)))</formula>
    </cfRule>
    <cfRule type="containsText" dxfId="1084" priority="1148" operator="containsText" text="Deferred">
      <formula>NOT(ISERROR(SEARCH("Deferred",G41)))</formula>
    </cfRule>
    <cfRule type="containsText" dxfId="1083" priority="1149" operator="containsText" text="Deleted">
      <formula>NOT(ISERROR(SEARCH("Deleted",G41)))</formula>
    </cfRule>
    <cfRule type="containsText" dxfId="1082" priority="1150" operator="containsText" text="In Danger of Falling Behind Target">
      <formula>NOT(ISERROR(SEARCH("In Danger of Falling Behind Target",G41)))</formula>
    </cfRule>
    <cfRule type="containsText" dxfId="1081" priority="1151" operator="containsText" text="Not yet due">
      <formula>NOT(ISERROR(SEARCH("Not yet due",G41)))</formula>
    </cfRule>
    <cfRule type="containsText" dxfId="1080" priority="1152" operator="containsText" text="Update not Provided">
      <formula>NOT(ISERROR(SEARCH("Update not Provided",G41)))</formula>
    </cfRule>
  </conditionalFormatting>
  <conditionalFormatting sqref="G43">
    <cfRule type="containsText" dxfId="1079" priority="1081" operator="containsText" text="On track to be achieved">
      <formula>NOT(ISERROR(SEARCH("On track to be achieved",G43)))</formula>
    </cfRule>
    <cfRule type="containsText" dxfId="1078" priority="1082" operator="containsText" text="Deferred">
      <formula>NOT(ISERROR(SEARCH("Deferred",G43)))</formula>
    </cfRule>
    <cfRule type="containsText" dxfId="1077" priority="1083" operator="containsText" text="Deleted">
      <formula>NOT(ISERROR(SEARCH("Deleted",G43)))</formula>
    </cfRule>
    <cfRule type="containsText" dxfId="1076" priority="1084" operator="containsText" text="In Danger of Falling Behind Target">
      <formula>NOT(ISERROR(SEARCH("In Danger of Falling Behind Target",G43)))</formula>
    </cfRule>
    <cfRule type="containsText" dxfId="1075" priority="1085" operator="containsText" text="Not yet due">
      <formula>NOT(ISERROR(SEARCH("Not yet due",G43)))</formula>
    </cfRule>
    <cfRule type="containsText" dxfId="1074" priority="1086" operator="containsText" text="Update not Provided">
      <formula>NOT(ISERROR(SEARCH("Update not Provided",G43)))</formula>
    </cfRule>
    <cfRule type="containsText" dxfId="1073" priority="1087" operator="containsText" text="Not yet due">
      <formula>NOT(ISERROR(SEARCH("Not yet due",G43)))</formula>
    </cfRule>
    <cfRule type="containsText" dxfId="1072" priority="1088" operator="containsText" text="Completed Behind Schedule">
      <formula>NOT(ISERROR(SEARCH("Completed Behind Schedule",G43)))</formula>
    </cfRule>
    <cfRule type="containsText" dxfId="1071" priority="1089" operator="containsText" text="Off Target">
      <formula>NOT(ISERROR(SEARCH("Off Target",G43)))</formula>
    </cfRule>
    <cfRule type="containsText" dxfId="1070" priority="1090" operator="containsText" text="On Track to be Achieved">
      <formula>NOT(ISERROR(SEARCH("On Track to be Achieved",G43)))</formula>
    </cfRule>
    <cfRule type="containsText" dxfId="1069" priority="1091" operator="containsText" text="Fully Achieved">
      <formula>NOT(ISERROR(SEARCH("Fully Achieved",G43)))</formula>
    </cfRule>
    <cfRule type="containsText" dxfId="1068" priority="1092" operator="containsText" text="Not yet due">
      <formula>NOT(ISERROR(SEARCH("Not yet due",G43)))</formula>
    </cfRule>
    <cfRule type="containsText" dxfId="1067" priority="1093" operator="containsText" text="Not Yet Due">
      <formula>NOT(ISERROR(SEARCH("Not Yet Due",G43)))</formula>
    </cfRule>
    <cfRule type="containsText" dxfId="1066" priority="1094" operator="containsText" text="Deferred">
      <formula>NOT(ISERROR(SEARCH("Deferred",G43)))</formula>
    </cfRule>
    <cfRule type="containsText" dxfId="1065" priority="1095" operator="containsText" text="Deleted">
      <formula>NOT(ISERROR(SEARCH("Deleted",G43)))</formula>
    </cfRule>
    <cfRule type="containsText" dxfId="1064" priority="1096" operator="containsText" text="In Danger of Falling Behind Target">
      <formula>NOT(ISERROR(SEARCH("In Danger of Falling Behind Target",G43)))</formula>
    </cfRule>
    <cfRule type="containsText" dxfId="1063" priority="1097" operator="containsText" text="Not yet due">
      <formula>NOT(ISERROR(SEARCH("Not yet due",G43)))</formula>
    </cfRule>
    <cfRule type="containsText" dxfId="1062" priority="1098" operator="containsText" text="Completed Behind Schedule">
      <formula>NOT(ISERROR(SEARCH("Completed Behind Schedule",G43)))</formula>
    </cfRule>
    <cfRule type="containsText" dxfId="1061" priority="1099" operator="containsText" text="Off Target">
      <formula>NOT(ISERROR(SEARCH("Off Target",G43)))</formula>
    </cfRule>
    <cfRule type="containsText" dxfId="1060" priority="1100" operator="containsText" text="In Danger of Falling Behind Target">
      <formula>NOT(ISERROR(SEARCH("In Danger of Falling Behind Target",G43)))</formula>
    </cfRule>
    <cfRule type="containsText" dxfId="1059" priority="1101" operator="containsText" text="On Track to be Achieved">
      <formula>NOT(ISERROR(SEARCH("On Track to be Achieved",G43)))</formula>
    </cfRule>
    <cfRule type="containsText" dxfId="1058" priority="1102" operator="containsText" text="Fully Achieved">
      <formula>NOT(ISERROR(SEARCH("Fully Achieved",G43)))</formula>
    </cfRule>
    <cfRule type="containsText" dxfId="1057" priority="1103" operator="containsText" text="Update not Provided">
      <formula>NOT(ISERROR(SEARCH("Update not Provided",G43)))</formula>
    </cfRule>
    <cfRule type="containsText" dxfId="1056" priority="1104" operator="containsText" text="Not yet due">
      <formula>NOT(ISERROR(SEARCH("Not yet due",G43)))</formula>
    </cfRule>
    <cfRule type="containsText" dxfId="1055" priority="1105" operator="containsText" text="Completed Behind Schedule">
      <formula>NOT(ISERROR(SEARCH("Completed Behind Schedule",G43)))</formula>
    </cfRule>
    <cfRule type="containsText" dxfId="1054" priority="1106" operator="containsText" text="Off Target">
      <formula>NOT(ISERROR(SEARCH("Off Target",G43)))</formula>
    </cfRule>
    <cfRule type="containsText" dxfId="1053" priority="1107" operator="containsText" text="In Danger of Falling Behind Target">
      <formula>NOT(ISERROR(SEARCH("In Danger of Falling Behind Target",G43)))</formula>
    </cfRule>
    <cfRule type="containsText" dxfId="1052" priority="1108" operator="containsText" text="On Track to be Achieved">
      <formula>NOT(ISERROR(SEARCH("On Track to be Achieved",G43)))</formula>
    </cfRule>
    <cfRule type="containsText" dxfId="1051" priority="1109" operator="containsText" text="Fully Achieved">
      <formula>NOT(ISERROR(SEARCH("Fully Achieved",G43)))</formula>
    </cfRule>
    <cfRule type="containsText" dxfId="1050" priority="1110" operator="containsText" text="Fully Achieved">
      <formula>NOT(ISERROR(SEARCH("Fully Achieved",G43)))</formula>
    </cfRule>
    <cfRule type="containsText" dxfId="1049" priority="1111" operator="containsText" text="Fully Achieved">
      <formula>NOT(ISERROR(SEARCH("Fully Achieved",G43)))</formula>
    </cfRule>
    <cfRule type="containsText" dxfId="1048" priority="1112" operator="containsText" text="Deferred">
      <formula>NOT(ISERROR(SEARCH("Deferred",G43)))</formula>
    </cfRule>
    <cfRule type="containsText" dxfId="1047" priority="1113" operator="containsText" text="Deleted">
      <formula>NOT(ISERROR(SEARCH("Deleted",G43)))</formula>
    </cfRule>
    <cfRule type="containsText" dxfId="1046" priority="1114" operator="containsText" text="In Danger of Falling Behind Target">
      <formula>NOT(ISERROR(SEARCH("In Danger of Falling Behind Target",G43)))</formula>
    </cfRule>
    <cfRule type="containsText" dxfId="1045" priority="1115" operator="containsText" text="Not yet due">
      <formula>NOT(ISERROR(SEARCH("Not yet due",G43)))</formula>
    </cfRule>
    <cfRule type="containsText" dxfId="1044" priority="1116" operator="containsText" text="Update not Provided">
      <formula>NOT(ISERROR(SEARCH("Update not Provided",G43)))</formula>
    </cfRule>
  </conditionalFormatting>
  <conditionalFormatting sqref="G43">
    <cfRule type="containsText" dxfId="1043" priority="1045" operator="containsText" text="On track to be achieved">
      <formula>NOT(ISERROR(SEARCH("On track to be achieved",G43)))</formula>
    </cfRule>
    <cfRule type="containsText" dxfId="1042" priority="1046" operator="containsText" text="Deferred">
      <formula>NOT(ISERROR(SEARCH("Deferred",G43)))</formula>
    </cfRule>
    <cfRule type="containsText" dxfId="1041" priority="1047" operator="containsText" text="Deleted">
      <formula>NOT(ISERROR(SEARCH("Deleted",G43)))</formula>
    </cfRule>
    <cfRule type="containsText" dxfId="1040" priority="1048" operator="containsText" text="In Danger of Falling Behind Target">
      <formula>NOT(ISERROR(SEARCH("In Danger of Falling Behind Target",G43)))</formula>
    </cfRule>
    <cfRule type="containsText" dxfId="1039" priority="1049" operator="containsText" text="Not yet due">
      <formula>NOT(ISERROR(SEARCH("Not yet due",G43)))</formula>
    </cfRule>
    <cfRule type="containsText" dxfId="1038" priority="1050" operator="containsText" text="Update not Provided">
      <formula>NOT(ISERROR(SEARCH("Update not Provided",G43)))</formula>
    </cfRule>
    <cfRule type="containsText" dxfId="1037" priority="1051" operator="containsText" text="Not yet due">
      <formula>NOT(ISERROR(SEARCH("Not yet due",G43)))</formula>
    </cfRule>
    <cfRule type="containsText" dxfId="1036" priority="1052" operator="containsText" text="Completed Behind Schedule">
      <formula>NOT(ISERROR(SEARCH("Completed Behind Schedule",G43)))</formula>
    </cfRule>
    <cfRule type="containsText" dxfId="1035" priority="1053" operator="containsText" text="Off Target">
      <formula>NOT(ISERROR(SEARCH("Off Target",G43)))</formula>
    </cfRule>
    <cfRule type="containsText" dxfId="1034" priority="1054" operator="containsText" text="On Track to be Achieved">
      <formula>NOT(ISERROR(SEARCH("On Track to be Achieved",G43)))</formula>
    </cfRule>
    <cfRule type="containsText" dxfId="1033" priority="1055" operator="containsText" text="Fully Achieved">
      <formula>NOT(ISERROR(SEARCH("Fully Achieved",G43)))</formula>
    </cfRule>
    <cfRule type="containsText" dxfId="1032" priority="1056" operator="containsText" text="Not yet due">
      <formula>NOT(ISERROR(SEARCH("Not yet due",G43)))</formula>
    </cfRule>
    <cfRule type="containsText" dxfId="1031" priority="1057" operator="containsText" text="Not Yet Due">
      <formula>NOT(ISERROR(SEARCH("Not Yet Due",G43)))</formula>
    </cfRule>
    <cfRule type="containsText" dxfId="1030" priority="1058" operator="containsText" text="Deferred">
      <formula>NOT(ISERROR(SEARCH("Deferred",G43)))</formula>
    </cfRule>
    <cfRule type="containsText" dxfId="1029" priority="1059" operator="containsText" text="Deleted">
      <formula>NOT(ISERROR(SEARCH("Deleted",G43)))</formula>
    </cfRule>
    <cfRule type="containsText" dxfId="1028" priority="1060" operator="containsText" text="In Danger of Falling Behind Target">
      <formula>NOT(ISERROR(SEARCH("In Danger of Falling Behind Target",G43)))</formula>
    </cfRule>
    <cfRule type="containsText" dxfId="1027" priority="1061" operator="containsText" text="Not yet due">
      <formula>NOT(ISERROR(SEARCH("Not yet due",G43)))</formula>
    </cfRule>
    <cfRule type="containsText" dxfId="1026" priority="1062" operator="containsText" text="Completed Behind Schedule">
      <formula>NOT(ISERROR(SEARCH("Completed Behind Schedule",G43)))</formula>
    </cfRule>
    <cfRule type="containsText" dxfId="1025" priority="1063" operator="containsText" text="Off Target">
      <formula>NOT(ISERROR(SEARCH("Off Target",G43)))</formula>
    </cfRule>
    <cfRule type="containsText" dxfId="1024" priority="1064" operator="containsText" text="In Danger of Falling Behind Target">
      <formula>NOT(ISERROR(SEARCH("In Danger of Falling Behind Target",G43)))</formula>
    </cfRule>
    <cfRule type="containsText" dxfId="1023" priority="1065" operator="containsText" text="On Track to be Achieved">
      <formula>NOT(ISERROR(SEARCH("On Track to be Achieved",G43)))</formula>
    </cfRule>
    <cfRule type="containsText" dxfId="1022" priority="1066" operator="containsText" text="Fully Achieved">
      <formula>NOT(ISERROR(SEARCH("Fully Achieved",G43)))</formula>
    </cfRule>
    <cfRule type="containsText" dxfId="1021" priority="1067" operator="containsText" text="Update not Provided">
      <formula>NOT(ISERROR(SEARCH("Update not Provided",G43)))</formula>
    </cfRule>
    <cfRule type="containsText" dxfId="1020" priority="1068" operator="containsText" text="Not yet due">
      <formula>NOT(ISERROR(SEARCH("Not yet due",G43)))</formula>
    </cfRule>
    <cfRule type="containsText" dxfId="1019" priority="1069" operator="containsText" text="Completed Behind Schedule">
      <formula>NOT(ISERROR(SEARCH("Completed Behind Schedule",G43)))</formula>
    </cfRule>
    <cfRule type="containsText" dxfId="1018" priority="1070" operator="containsText" text="Off Target">
      <formula>NOT(ISERROR(SEARCH("Off Target",G43)))</formula>
    </cfRule>
    <cfRule type="containsText" dxfId="1017" priority="1071" operator="containsText" text="In Danger of Falling Behind Target">
      <formula>NOT(ISERROR(SEARCH("In Danger of Falling Behind Target",G43)))</formula>
    </cfRule>
    <cfRule type="containsText" dxfId="1016" priority="1072" operator="containsText" text="On Track to be Achieved">
      <formula>NOT(ISERROR(SEARCH("On Track to be Achieved",G43)))</formula>
    </cfRule>
    <cfRule type="containsText" dxfId="1015" priority="1073" operator="containsText" text="Fully Achieved">
      <formula>NOT(ISERROR(SEARCH("Fully Achieved",G43)))</formula>
    </cfRule>
    <cfRule type="containsText" dxfId="1014" priority="1074" operator="containsText" text="Fully Achieved">
      <formula>NOT(ISERROR(SEARCH("Fully Achieved",G43)))</formula>
    </cfRule>
    <cfRule type="containsText" dxfId="1013" priority="1075" operator="containsText" text="Fully Achieved">
      <formula>NOT(ISERROR(SEARCH("Fully Achieved",G43)))</formula>
    </cfRule>
    <cfRule type="containsText" dxfId="1012" priority="1076" operator="containsText" text="Deferred">
      <formula>NOT(ISERROR(SEARCH("Deferred",G43)))</formula>
    </cfRule>
    <cfRule type="containsText" dxfId="1011" priority="1077" operator="containsText" text="Deleted">
      <formula>NOT(ISERROR(SEARCH("Deleted",G43)))</formula>
    </cfRule>
    <cfRule type="containsText" dxfId="1010" priority="1078" operator="containsText" text="In Danger of Falling Behind Target">
      <formula>NOT(ISERROR(SEARCH("In Danger of Falling Behind Target",G43)))</formula>
    </cfRule>
    <cfRule type="containsText" dxfId="1009" priority="1079" operator="containsText" text="Not yet due">
      <formula>NOT(ISERROR(SEARCH("Not yet due",G43)))</formula>
    </cfRule>
    <cfRule type="containsText" dxfId="1008" priority="1080" operator="containsText" text="Update not Provided">
      <formula>NOT(ISERROR(SEARCH("Update not Provided",G43)))</formula>
    </cfRule>
  </conditionalFormatting>
  <conditionalFormatting sqref="G44:G50">
    <cfRule type="containsText" dxfId="1007" priority="1009" operator="containsText" text="On track to be achieved">
      <formula>NOT(ISERROR(SEARCH("On track to be achieved",G44)))</formula>
    </cfRule>
    <cfRule type="containsText" dxfId="1006" priority="1010" operator="containsText" text="Deferred">
      <formula>NOT(ISERROR(SEARCH("Deferred",G44)))</formula>
    </cfRule>
    <cfRule type="containsText" dxfId="1005" priority="1011" operator="containsText" text="Deleted">
      <formula>NOT(ISERROR(SEARCH("Deleted",G44)))</formula>
    </cfRule>
    <cfRule type="containsText" dxfId="1004" priority="1012" operator="containsText" text="In Danger of Falling Behind Target">
      <formula>NOT(ISERROR(SEARCH("In Danger of Falling Behind Target",G44)))</formula>
    </cfRule>
    <cfRule type="containsText" dxfId="1003" priority="1013" operator="containsText" text="Not yet due">
      <formula>NOT(ISERROR(SEARCH("Not yet due",G44)))</formula>
    </cfRule>
    <cfRule type="containsText" dxfId="1002" priority="1014" operator="containsText" text="Update not Provided">
      <formula>NOT(ISERROR(SEARCH("Update not Provided",G44)))</formula>
    </cfRule>
    <cfRule type="containsText" dxfId="1001" priority="1015" operator="containsText" text="Not yet due">
      <formula>NOT(ISERROR(SEARCH("Not yet due",G44)))</formula>
    </cfRule>
    <cfRule type="containsText" dxfId="1000" priority="1016" operator="containsText" text="Completed Behind Schedule">
      <formula>NOT(ISERROR(SEARCH("Completed Behind Schedule",G44)))</formula>
    </cfRule>
    <cfRule type="containsText" dxfId="999" priority="1017" operator="containsText" text="Off Target">
      <formula>NOT(ISERROR(SEARCH("Off Target",G44)))</formula>
    </cfRule>
    <cfRule type="containsText" dxfId="998" priority="1018" operator="containsText" text="On Track to be Achieved">
      <formula>NOT(ISERROR(SEARCH("On Track to be Achieved",G44)))</formula>
    </cfRule>
    <cfRule type="containsText" dxfId="997" priority="1019" operator="containsText" text="Fully Achieved">
      <formula>NOT(ISERROR(SEARCH("Fully Achieved",G44)))</formula>
    </cfRule>
    <cfRule type="containsText" dxfId="996" priority="1020" operator="containsText" text="Not yet due">
      <formula>NOT(ISERROR(SEARCH("Not yet due",G44)))</formula>
    </cfRule>
    <cfRule type="containsText" dxfId="995" priority="1021" operator="containsText" text="Not Yet Due">
      <formula>NOT(ISERROR(SEARCH("Not Yet Due",G44)))</formula>
    </cfRule>
    <cfRule type="containsText" dxfId="994" priority="1022" operator="containsText" text="Deferred">
      <formula>NOT(ISERROR(SEARCH("Deferred",G44)))</formula>
    </cfRule>
    <cfRule type="containsText" dxfId="993" priority="1023" operator="containsText" text="Deleted">
      <formula>NOT(ISERROR(SEARCH("Deleted",G44)))</formula>
    </cfRule>
    <cfRule type="containsText" dxfId="992" priority="1024" operator="containsText" text="In Danger of Falling Behind Target">
      <formula>NOT(ISERROR(SEARCH("In Danger of Falling Behind Target",G44)))</formula>
    </cfRule>
    <cfRule type="containsText" dxfId="991" priority="1025" operator="containsText" text="Not yet due">
      <formula>NOT(ISERROR(SEARCH("Not yet due",G44)))</formula>
    </cfRule>
    <cfRule type="containsText" dxfId="990" priority="1026" operator="containsText" text="Completed Behind Schedule">
      <formula>NOT(ISERROR(SEARCH("Completed Behind Schedule",G44)))</formula>
    </cfRule>
    <cfRule type="containsText" dxfId="989" priority="1027" operator="containsText" text="Off Target">
      <formula>NOT(ISERROR(SEARCH("Off Target",G44)))</formula>
    </cfRule>
    <cfRule type="containsText" dxfId="988" priority="1028" operator="containsText" text="In Danger of Falling Behind Target">
      <formula>NOT(ISERROR(SEARCH("In Danger of Falling Behind Target",G44)))</formula>
    </cfRule>
    <cfRule type="containsText" dxfId="987" priority="1029" operator="containsText" text="On Track to be Achieved">
      <formula>NOT(ISERROR(SEARCH("On Track to be Achieved",G44)))</formula>
    </cfRule>
    <cfRule type="containsText" dxfId="986" priority="1030" operator="containsText" text="Fully Achieved">
      <formula>NOT(ISERROR(SEARCH("Fully Achieved",G44)))</formula>
    </cfRule>
    <cfRule type="containsText" dxfId="985" priority="1031" operator="containsText" text="Update not Provided">
      <formula>NOT(ISERROR(SEARCH("Update not Provided",G44)))</formula>
    </cfRule>
    <cfRule type="containsText" dxfId="984" priority="1032" operator="containsText" text="Not yet due">
      <formula>NOT(ISERROR(SEARCH("Not yet due",G44)))</formula>
    </cfRule>
    <cfRule type="containsText" dxfId="983" priority="1033" operator="containsText" text="Completed Behind Schedule">
      <formula>NOT(ISERROR(SEARCH("Completed Behind Schedule",G44)))</formula>
    </cfRule>
    <cfRule type="containsText" dxfId="982" priority="1034" operator="containsText" text="Off Target">
      <formula>NOT(ISERROR(SEARCH("Off Target",G44)))</formula>
    </cfRule>
    <cfRule type="containsText" dxfId="981" priority="1035" operator="containsText" text="In Danger of Falling Behind Target">
      <formula>NOT(ISERROR(SEARCH("In Danger of Falling Behind Target",G44)))</formula>
    </cfRule>
    <cfRule type="containsText" dxfId="980" priority="1036" operator="containsText" text="On Track to be Achieved">
      <formula>NOT(ISERROR(SEARCH("On Track to be Achieved",G44)))</formula>
    </cfRule>
    <cfRule type="containsText" dxfId="979" priority="1037" operator="containsText" text="Fully Achieved">
      <formula>NOT(ISERROR(SEARCH("Fully Achieved",G44)))</formula>
    </cfRule>
    <cfRule type="containsText" dxfId="978" priority="1038" operator="containsText" text="Fully Achieved">
      <formula>NOT(ISERROR(SEARCH("Fully Achieved",G44)))</formula>
    </cfRule>
    <cfRule type="containsText" dxfId="977" priority="1039" operator="containsText" text="Fully Achieved">
      <formula>NOT(ISERROR(SEARCH("Fully Achieved",G44)))</formula>
    </cfRule>
    <cfRule type="containsText" dxfId="976" priority="1040" operator="containsText" text="Deferred">
      <formula>NOT(ISERROR(SEARCH("Deferred",G44)))</formula>
    </cfRule>
    <cfRule type="containsText" dxfId="975" priority="1041" operator="containsText" text="Deleted">
      <formula>NOT(ISERROR(SEARCH("Deleted",G44)))</formula>
    </cfRule>
    <cfRule type="containsText" dxfId="974" priority="1042" operator="containsText" text="In Danger of Falling Behind Target">
      <formula>NOT(ISERROR(SEARCH("In Danger of Falling Behind Target",G44)))</formula>
    </cfRule>
    <cfRule type="containsText" dxfId="973" priority="1043" operator="containsText" text="Not yet due">
      <formula>NOT(ISERROR(SEARCH("Not yet due",G44)))</formula>
    </cfRule>
    <cfRule type="containsText" dxfId="972" priority="1044" operator="containsText" text="Update not Provided">
      <formula>NOT(ISERROR(SEARCH("Update not Provided",G44)))</formula>
    </cfRule>
  </conditionalFormatting>
  <conditionalFormatting sqref="G51">
    <cfRule type="containsText" dxfId="971" priority="973" operator="containsText" text="On track to be achieved">
      <formula>NOT(ISERROR(SEARCH("On track to be achieved",G51)))</formula>
    </cfRule>
    <cfRule type="containsText" dxfId="970" priority="974" operator="containsText" text="Deferred">
      <formula>NOT(ISERROR(SEARCH("Deferred",G51)))</formula>
    </cfRule>
    <cfRule type="containsText" dxfId="969" priority="975" operator="containsText" text="Deleted">
      <formula>NOT(ISERROR(SEARCH("Deleted",G51)))</formula>
    </cfRule>
    <cfRule type="containsText" dxfId="968" priority="976" operator="containsText" text="In Danger of Falling Behind Target">
      <formula>NOT(ISERROR(SEARCH("In Danger of Falling Behind Target",G51)))</formula>
    </cfRule>
    <cfRule type="containsText" dxfId="967" priority="977" operator="containsText" text="Not yet due">
      <formula>NOT(ISERROR(SEARCH("Not yet due",G51)))</formula>
    </cfRule>
    <cfRule type="containsText" dxfId="966" priority="978" operator="containsText" text="Update not Provided">
      <formula>NOT(ISERROR(SEARCH("Update not Provided",G51)))</formula>
    </cfRule>
    <cfRule type="containsText" dxfId="965" priority="979" operator="containsText" text="Not yet due">
      <formula>NOT(ISERROR(SEARCH("Not yet due",G51)))</formula>
    </cfRule>
    <cfRule type="containsText" dxfId="964" priority="980" operator="containsText" text="Completed Behind Schedule">
      <formula>NOT(ISERROR(SEARCH("Completed Behind Schedule",G51)))</formula>
    </cfRule>
    <cfRule type="containsText" dxfId="963" priority="981" operator="containsText" text="Off Target">
      <formula>NOT(ISERROR(SEARCH("Off Target",G51)))</formula>
    </cfRule>
    <cfRule type="containsText" dxfId="962" priority="982" operator="containsText" text="On Track to be Achieved">
      <formula>NOT(ISERROR(SEARCH("On Track to be Achieved",G51)))</formula>
    </cfRule>
    <cfRule type="containsText" dxfId="961" priority="983" operator="containsText" text="Fully Achieved">
      <formula>NOT(ISERROR(SEARCH("Fully Achieved",G51)))</formula>
    </cfRule>
    <cfRule type="containsText" dxfId="960" priority="984" operator="containsText" text="Not yet due">
      <formula>NOT(ISERROR(SEARCH("Not yet due",G51)))</formula>
    </cfRule>
    <cfRule type="containsText" dxfId="959" priority="985" operator="containsText" text="Not Yet Due">
      <formula>NOT(ISERROR(SEARCH("Not Yet Due",G51)))</formula>
    </cfRule>
    <cfRule type="containsText" dxfId="958" priority="986" operator="containsText" text="Deferred">
      <formula>NOT(ISERROR(SEARCH("Deferred",G51)))</formula>
    </cfRule>
    <cfRule type="containsText" dxfId="957" priority="987" operator="containsText" text="Deleted">
      <formula>NOT(ISERROR(SEARCH("Deleted",G51)))</formula>
    </cfRule>
    <cfRule type="containsText" dxfId="956" priority="988" operator="containsText" text="In Danger of Falling Behind Target">
      <formula>NOT(ISERROR(SEARCH("In Danger of Falling Behind Target",G51)))</formula>
    </cfRule>
    <cfRule type="containsText" dxfId="955" priority="989" operator="containsText" text="Not yet due">
      <formula>NOT(ISERROR(SEARCH("Not yet due",G51)))</formula>
    </cfRule>
    <cfRule type="containsText" dxfId="954" priority="990" operator="containsText" text="Completed Behind Schedule">
      <formula>NOT(ISERROR(SEARCH("Completed Behind Schedule",G51)))</formula>
    </cfRule>
    <cfRule type="containsText" dxfId="953" priority="991" operator="containsText" text="Off Target">
      <formula>NOT(ISERROR(SEARCH("Off Target",G51)))</formula>
    </cfRule>
    <cfRule type="containsText" dxfId="952" priority="992" operator="containsText" text="In Danger of Falling Behind Target">
      <formula>NOT(ISERROR(SEARCH("In Danger of Falling Behind Target",G51)))</formula>
    </cfRule>
    <cfRule type="containsText" dxfId="951" priority="993" operator="containsText" text="On Track to be Achieved">
      <formula>NOT(ISERROR(SEARCH("On Track to be Achieved",G51)))</formula>
    </cfRule>
    <cfRule type="containsText" dxfId="950" priority="994" operator="containsText" text="Fully Achieved">
      <formula>NOT(ISERROR(SEARCH("Fully Achieved",G51)))</formula>
    </cfRule>
    <cfRule type="containsText" dxfId="949" priority="995" operator="containsText" text="Update not Provided">
      <formula>NOT(ISERROR(SEARCH("Update not Provided",G51)))</formula>
    </cfRule>
    <cfRule type="containsText" dxfId="948" priority="996" operator="containsText" text="Not yet due">
      <formula>NOT(ISERROR(SEARCH("Not yet due",G51)))</formula>
    </cfRule>
    <cfRule type="containsText" dxfId="947" priority="997" operator="containsText" text="Completed Behind Schedule">
      <formula>NOT(ISERROR(SEARCH("Completed Behind Schedule",G51)))</formula>
    </cfRule>
    <cfRule type="containsText" dxfId="946" priority="998" operator="containsText" text="Off Target">
      <formula>NOT(ISERROR(SEARCH("Off Target",G51)))</formula>
    </cfRule>
    <cfRule type="containsText" dxfId="945" priority="999" operator="containsText" text="In Danger of Falling Behind Target">
      <formula>NOT(ISERROR(SEARCH("In Danger of Falling Behind Target",G51)))</formula>
    </cfRule>
    <cfRule type="containsText" dxfId="944" priority="1000" operator="containsText" text="On Track to be Achieved">
      <formula>NOT(ISERROR(SEARCH("On Track to be Achieved",G51)))</formula>
    </cfRule>
    <cfRule type="containsText" dxfId="943" priority="1001" operator="containsText" text="Fully Achieved">
      <formula>NOT(ISERROR(SEARCH("Fully Achieved",G51)))</formula>
    </cfRule>
    <cfRule type="containsText" dxfId="942" priority="1002" operator="containsText" text="Fully Achieved">
      <formula>NOT(ISERROR(SEARCH("Fully Achieved",G51)))</formula>
    </cfRule>
    <cfRule type="containsText" dxfId="941" priority="1003" operator="containsText" text="Fully Achieved">
      <formula>NOT(ISERROR(SEARCH("Fully Achieved",G51)))</formula>
    </cfRule>
    <cfRule type="containsText" dxfId="940" priority="1004" operator="containsText" text="Deferred">
      <formula>NOT(ISERROR(SEARCH("Deferred",G51)))</formula>
    </cfRule>
    <cfRule type="containsText" dxfId="939" priority="1005" operator="containsText" text="Deleted">
      <formula>NOT(ISERROR(SEARCH("Deleted",G51)))</formula>
    </cfRule>
    <cfRule type="containsText" dxfId="938" priority="1006" operator="containsText" text="In Danger of Falling Behind Target">
      <formula>NOT(ISERROR(SEARCH("In Danger of Falling Behind Target",G51)))</formula>
    </cfRule>
    <cfRule type="containsText" dxfId="937" priority="1007" operator="containsText" text="Not yet due">
      <formula>NOT(ISERROR(SEARCH("Not yet due",G51)))</formula>
    </cfRule>
    <cfRule type="containsText" dxfId="936" priority="1008" operator="containsText" text="Update not Provided">
      <formula>NOT(ISERROR(SEARCH("Update not Provided",G51)))</formula>
    </cfRule>
  </conditionalFormatting>
  <conditionalFormatting sqref="G51">
    <cfRule type="containsText" dxfId="935" priority="937" operator="containsText" text="On track to be achieved">
      <formula>NOT(ISERROR(SEARCH("On track to be achieved",G51)))</formula>
    </cfRule>
    <cfRule type="containsText" dxfId="934" priority="938" operator="containsText" text="Deferred">
      <formula>NOT(ISERROR(SEARCH("Deferred",G51)))</formula>
    </cfRule>
    <cfRule type="containsText" dxfId="933" priority="939" operator="containsText" text="Deleted">
      <formula>NOT(ISERROR(SEARCH("Deleted",G51)))</formula>
    </cfRule>
    <cfRule type="containsText" dxfId="932" priority="940" operator="containsText" text="In Danger of Falling Behind Target">
      <formula>NOT(ISERROR(SEARCH("In Danger of Falling Behind Target",G51)))</formula>
    </cfRule>
    <cfRule type="containsText" dxfId="931" priority="941" operator="containsText" text="Not yet due">
      <formula>NOT(ISERROR(SEARCH("Not yet due",G51)))</formula>
    </cfRule>
    <cfRule type="containsText" dxfId="930" priority="942" operator="containsText" text="Update not Provided">
      <formula>NOT(ISERROR(SEARCH("Update not Provided",G51)))</formula>
    </cfRule>
    <cfRule type="containsText" dxfId="929" priority="943" operator="containsText" text="Not yet due">
      <formula>NOT(ISERROR(SEARCH("Not yet due",G51)))</formula>
    </cfRule>
    <cfRule type="containsText" dxfId="928" priority="944" operator="containsText" text="Completed Behind Schedule">
      <formula>NOT(ISERROR(SEARCH("Completed Behind Schedule",G51)))</formula>
    </cfRule>
    <cfRule type="containsText" dxfId="927" priority="945" operator="containsText" text="Off Target">
      <formula>NOT(ISERROR(SEARCH("Off Target",G51)))</formula>
    </cfRule>
    <cfRule type="containsText" dxfId="926" priority="946" operator="containsText" text="On Track to be Achieved">
      <formula>NOT(ISERROR(SEARCH("On Track to be Achieved",G51)))</formula>
    </cfRule>
    <cfRule type="containsText" dxfId="925" priority="947" operator="containsText" text="Fully Achieved">
      <formula>NOT(ISERROR(SEARCH("Fully Achieved",G51)))</formula>
    </cfRule>
    <cfRule type="containsText" dxfId="924" priority="948" operator="containsText" text="Not yet due">
      <formula>NOT(ISERROR(SEARCH("Not yet due",G51)))</formula>
    </cfRule>
    <cfRule type="containsText" dxfId="923" priority="949" operator="containsText" text="Not Yet Due">
      <formula>NOT(ISERROR(SEARCH("Not Yet Due",G51)))</formula>
    </cfRule>
    <cfRule type="containsText" dxfId="922" priority="950" operator="containsText" text="Deferred">
      <formula>NOT(ISERROR(SEARCH("Deferred",G51)))</formula>
    </cfRule>
    <cfRule type="containsText" dxfId="921" priority="951" operator="containsText" text="Deleted">
      <formula>NOT(ISERROR(SEARCH("Deleted",G51)))</formula>
    </cfRule>
    <cfRule type="containsText" dxfId="920" priority="952" operator="containsText" text="In Danger of Falling Behind Target">
      <formula>NOT(ISERROR(SEARCH("In Danger of Falling Behind Target",G51)))</formula>
    </cfRule>
    <cfRule type="containsText" dxfId="919" priority="953" operator="containsText" text="Not yet due">
      <formula>NOT(ISERROR(SEARCH("Not yet due",G51)))</formula>
    </cfRule>
    <cfRule type="containsText" dxfId="918" priority="954" operator="containsText" text="Completed Behind Schedule">
      <formula>NOT(ISERROR(SEARCH("Completed Behind Schedule",G51)))</formula>
    </cfRule>
    <cfRule type="containsText" dxfId="917" priority="955" operator="containsText" text="Off Target">
      <formula>NOT(ISERROR(SEARCH("Off Target",G51)))</formula>
    </cfRule>
    <cfRule type="containsText" dxfId="916" priority="956" operator="containsText" text="In Danger of Falling Behind Target">
      <formula>NOT(ISERROR(SEARCH("In Danger of Falling Behind Target",G51)))</formula>
    </cfRule>
    <cfRule type="containsText" dxfId="915" priority="957" operator="containsText" text="On Track to be Achieved">
      <formula>NOT(ISERROR(SEARCH("On Track to be Achieved",G51)))</formula>
    </cfRule>
    <cfRule type="containsText" dxfId="914" priority="958" operator="containsText" text="Fully Achieved">
      <formula>NOT(ISERROR(SEARCH("Fully Achieved",G51)))</formula>
    </cfRule>
    <cfRule type="containsText" dxfId="913" priority="959" operator="containsText" text="Update not Provided">
      <formula>NOT(ISERROR(SEARCH("Update not Provided",G51)))</formula>
    </cfRule>
    <cfRule type="containsText" dxfId="912" priority="960" operator="containsText" text="Not yet due">
      <formula>NOT(ISERROR(SEARCH("Not yet due",G51)))</formula>
    </cfRule>
    <cfRule type="containsText" dxfId="911" priority="961" operator="containsText" text="Completed Behind Schedule">
      <formula>NOT(ISERROR(SEARCH("Completed Behind Schedule",G51)))</formula>
    </cfRule>
    <cfRule type="containsText" dxfId="910" priority="962" operator="containsText" text="Off Target">
      <formula>NOT(ISERROR(SEARCH("Off Target",G51)))</formula>
    </cfRule>
    <cfRule type="containsText" dxfId="909" priority="963" operator="containsText" text="In Danger of Falling Behind Target">
      <formula>NOT(ISERROR(SEARCH("In Danger of Falling Behind Target",G51)))</formula>
    </cfRule>
    <cfRule type="containsText" dxfId="908" priority="964" operator="containsText" text="On Track to be Achieved">
      <formula>NOT(ISERROR(SEARCH("On Track to be Achieved",G51)))</formula>
    </cfRule>
    <cfRule type="containsText" dxfId="907" priority="965" operator="containsText" text="Fully Achieved">
      <formula>NOT(ISERROR(SEARCH("Fully Achieved",G51)))</formula>
    </cfRule>
    <cfRule type="containsText" dxfId="906" priority="966" operator="containsText" text="Fully Achieved">
      <formula>NOT(ISERROR(SEARCH("Fully Achieved",G51)))</formula>
    </cfRule>
    <cfRule type="containsText" dxfId="905" priority="967" operator="containsText" text="Fully Achieved">
      <formula>NOT(ISERROR(SEARCH("Fully Achieved",G51)))</formula>
    </cfRule>
    <cfRule type="containsText" dxfId="904" priority="968" operator="containsText" text="Deferred">
      <formula>NOT(ISERROR(SEARCH("Deferred",G51)))</formula>
    </cfRule>
    <cfRule type="containsText" dxfId="903" priority="969" operator="containsText" text="Deleted">
      <formula>NOT(ISERROR(SEARCH("Deleted",G51)))</formula>
    </cfRule>
    <cfRule type="containsText" dxfId="902" priority="970" operator="containsText" text="In Danger of Falling Behind Target">
      <formula>NOT(ISERROR(SEARCH("In Danger of Falling Behind Target",G51)))</formula>
    </cfRule>
    <cfRule type="containsText" dxfId="901" priority="971" operator="containsText" text="Not yet due">
      <formula>NOT(ISERROR(SEARCH("Not yet due",G51)))</formula>
    </cfRule>
    <cfRule type="containsText" dxfId="900" priority="972" operator="containsText" text="Update not Provided">
      <formula>NOT(ISERROR(SEARCH("Update not Provided",G51)))</formula>
    </cfRule>
  </conditionalFormatting>
  <conditionalFormatting sqref="G52:G54">
    <cfRule type="containsText" dxfId="899" priority="901" operator="containsText" text="On track to be achieved">
      <formula>NOT(ISERROR(SEARCH("On track to be achieved",G52)))</formula>
    </cfRule>
    <cfRule type="containsText" dxfId="898" priority="902" operator="containsText" text="Deferred">
      <formula>NOT(ISERROR(SEARCH("Deferred",G52)))</formula>
    </cfRule>
    <cfRule type="containsText" dxfId="897" priority="903" operator="containsText" text="Deleted">
      <formula>NOT(ISERROR(SEARCH("Deleted",G52)))</formula>
    </cfRule>
    <cfRule type="containsText" dxfId="896" priority="904" operator="containsText" text="In Danger of Falling Behind Target">
      <formula>NOT(ISERROR(SEARCH("In Danger of Falling Behind Target",G52)))</formula>
    </cfRule>
    <cfRule type="containsText" dxfId="895" priority="905" operator="containsText" text="Not yet due">
      <formula>NOT(ISERROR(SEARCH("Not yet due",G52)))</formula>
    </cfRule>
    <cfRule type="containsText" dxfId="894" priority="906" operator="containsText" text="Update not Provided">
      <formula>NOT(ISERROR(SEARCH("Update not Provided",G52)))</formula>
    </cfRule>
    <cfRule type="containsText" dxfId="893" priority="907" operator="containsText" text="Not yet due">
      <formula>NOT(ISERROR(SEARCH("Not yet due",G52)))</formula>
    </cfRule>
    <cfRule type="containsText" dxfId="892" priority="908" operator="containsText" text="Completed Behind Schedule">
      <formula>NOT(ISERROR(SEARCH("Completed Behind Schedule",G52)))</formula>
    </cfRule>
    <cfRule type="containsText" dxfId="891" priority="909" operator="containsText" text="Off Target">
      <formula>NOT(ISERROR(SEARCH("Off Target",G52)))</formula>
    </cfRule>
    <cfRule type="containsText" dxfId="890" priority="910" operator="containsText" text="On Track to be Achieved">
      <formula>NOT(ISERROR(SEARCH("On Track to be Achieved",G52)))</formula>
    </cfRule>
    <cfRule type="containsText" dxfId="889" priority="911" operator="containsText" text="Fully Achieved">
      <formula>NOT(ISERROR(SEARCH("Fully Achieved",G52)))</formula>
    </cfRule>
    <cfRule type="containsText" dxfId="888" priority="912" operator="containsText" text="Not yet due">
      <formula>NOT(ISERROR(SEARCH("Not yet due",G52)))</formula>
    </cfRule>
    <cfRule type="containsText" dxfId="887" priority="913" operator="containsText" text="Not Yet Due">
      <formula>NOT(ISERROR(SEARCH("Not Yet Due",G52)))</formula>
    </cfRule>
    <cfRule type="containsText" dxfId="886" priority="914" operator="containsText" text="Deferred">
      <formula>NOT(ISERROR(SEARCH("Deferred",G52)))</formula>
    </cfRule>
    <cfRule type="containsText" dxfId="885" priority="915" operator="containsText" text="Deleted">
      <formula>NOT(ISERROR(SEARCH("Deleted",G52)))</formula>
    </cfRule>
    <cfRule type="containsText" dxfId="884" priority="916" operator="containsText" text="In Danger of Falling Behind Target">
      <formula>NOT(ISERROR(SEARCH("In Danger of Falling Behind Target",G52)))</formula>
    </cfRule>
    <cfRule type="containsText" dxfId="883" priority="917" operator="containsText" text="Not yet due">
      <formula>NOT(ISERROR(SEARCH("Not yet due",G52)))</formula>
    </cfRule>
    <cfRule type="containsText" dxfId="882" priority="918" operator="containsText" text="Completed Behind Schedule">
      <formula>NOT(ISERROR(SEARCH("Completed Behind Schedule",G52)))</formula>
    </cfRule>
    <cfRule type="containsText" dxfId="881" priority="919" operator="containsText" text="Off Target">
      <formula>NOT(ISERROR(SEARCH("Off Target",G52)))</formula>
    </cfRule>
    <cfRule type="containsText" dxfId="880" priority="920" operator="containsText" text="In Danger of Falling Behind Target">
      <formula>NOT(ISERROR(SEARCH("In Danger of Falling Behind Target",G52)))</formula>
    </cfRule>
    <cfRule type="containsText" dxfId="879" priority="921" operator="containsText" text="On Track to be Achieved">
      <formula>NOT(ISERROR(SEARCH("On Track to be Achieved",G52)))</formula>
    </cfRule>
    <cfRule type="containsText" dxfId="878" priority="922" operator="containsText" text="Fully Achieved">
      <formula>NOT(ISERROR(SEARCH("Fully Achieved",G52)))</formula>
    </cfRule>
    <cfRule type="containsText" dxfId="877" priority="923" operator="containsText" text="Update not Provided">
      <formula>NOT(ISERROR(SEARCH("Update not Provided",G52)))</formula>
    </cfRule>
    <cfRule type="containsText" dxfId="876" priority="924" operator="containsText" text="Not yet due">
      <formula>NOT(ISERROR(SEARCH("Not yet due",G52)))</formula>
    </cfRule>
    <cfRule type="containsText" dxfId="875" priority="925" operator="containsText" text="Completed Behind Schedule">
      <formula>NOT(ISERROR(SEARCH("Completed Behind Schedule",G52)))</formula>
    </cfRule>
    <cfRule type="containsText" dxfId="874" priority="926" operator="containsText" text="Off Target">
      <formula>NOT(ISERROR(SEARCH("Off Target",G52)))</formula>
    </cfRule>
    <cfRule type="containsText" dxfId="873" priority="927" operator="containsText" text="In Danger of Falling Behind Target">
      <formula>NOT(ISERROR(SEARCH("In Danger of Falling Behind Target",G52)))</formula>
    </cfRule>
    <cfRule type="containsText" dxfId="872" priority="928" operator="containsText" text="On Track to be Achieved">
      <formula>NOT(ISERROR(SEARCH("On Track to be Achieved",G52)))</formula>
    </cfRule>
    <cfRule type="containsText" dxfId="871" priority="929" operator="containsText" text="Fully Achieved">
      <formula>NOT(ISERROR(SEARCH("Fully Achieved",G52)))</formula>
    </cfRule>
    <cfRule type="containsText" dxfId="870" priority="930" operator="containsText" text="Fully Achieved">
      <formula>NOT(ISERROR(SEARCH("Fully Achieved",G52)))</formula>
    </cfRule>
    <cfRule type="containsText" dxfId="869" priority="931" operator="containsText" text="Fully Achieved">
      <formula>NOT(ISERROR(SEARCH("Fully Achieved",G52)))</formula>
    </cfRule>
    <cfRule type="containsText" dxfId="868" priority="932" operator="containsText" text="Deferred">
      <formula>NOT(ISERROR(SEARCH("Deferred",G52)))</formula>
    </cfRule>
    <cfRule type="containsText" dxfId="867" priority="933" operator="containsText" text="Deleted">
      <formula>NOT(ISERROR(SEARCH("Deleted",G52)))</formula>
    </cfRule>
    <cfRule type="containsText" dxfId="866" priority="934" operator="containsText" text="In Danger of Falling Behind Target">
      <formula>NOT(ISERROR(SEARCH("In Danger of Falling Behind Target",G52)))</formula>
    </cfRule>
    <cfRule type="containsText" dxfId="865" priority="935" operator="containsText" text="Not yet due">
      <formula>NOT(ISERROR(SEARCH("Not yet due",G52)))</formula>
    </cfRule>
    <cfRule type="containsText" dxfId="864" priority="936" operator="containsText" text="Update not Provided">
      <formula>NOT(ISERROR(SEARCH("Update not Provided",G52)))</formula>
    </cfRule>
  </conditionalFormatting>
  <conditionalFormatting sqref="G55">
    <cfRule type="containsText" dxfId="863" priority="865" operator="containsText" text="On track to be achieved">
      <formula>NOT(ISERROR(SEARCH("On track to be achieved",G55)))</formula>
    </cfRule>
    <cfRule type="containsText" dxfId="862" priority="866" operator="containsText" text="Deferred">
      <formula>NOT(ISERROR(SEARCH("Deferred",G55)))</formula>
    </cfRule>
    <cfRule type="containsText" dxfId="861" priority="867" operator="containsText" text="Deleted">
      <formula>NOT(ISERROR(SEARCH("Deleted",G55)))</formula>
    </cfRule>
    <cfRule type="containsText" dxfId="860" priority="868" operator="containsText" text="In Danger of Falling Behind Target">
      <formula>NOT(ISERROR(SEARCH("In Danger of Falling Behind Target",G55)))</formula>
    </cfRule>
    <cfRule type="containsText" dxfId="859" priority="869" operator="containsText" text="Not yet due">
      <formula>NOT(ISERROR(SEARCH("Not yet due",G55)))</formula>
    </cfRule>
    <cfRule type="containsText" dxfId="858" priority="870" operator="containsText" text="Update not Provided">
      <formula>NOT(ISERROR(SEARCH("Update not Provided",G55)))</formula>
    </cfRule>
    <cfRule type="containsText" dxfId="857" priority="871" operator="containsText" text="Not yet due">
      <formula>NOT(ISERROR(SEARCH("Not yet due",G55)))</formula>
    </cfRule>
    <cfRule type="containsText" dxfId="856" priority="872" operator="containsText" text="Completed Behind Schedule">
      <formula>NOT(ISERROR(SEARCH("Completed Behind Schedule",G55)))</formula>
    </cfRule>
    <cfRule type="containsText" dxfId="855" priority="873" operator="containsText" text="Off Target">
      <formula>NOT(ISERROR(SEARCH("Off Target",G55)))</formula>
    </cfRule>
    <cfRule type="containsText" dxfId="854" priority="874" operator="containsText" text="On Track to be Achieved">
      <formula>NOT(ISERROR(SEARCH("On Track to be Achieved",G55)))</formula>
    </cfRule>
    <cfRule type="containsText" dxfId="853" priority="875" operator="containsText" text="Fully Achieved">
      <formula>NOT(ISERROR(SEARCH("Fully Achieved",G55)))</formula>
    </cfRule>
    <cfRule type="containsText" dxfId="852" priority="876" operator="containsText" text="Not yet due">
      <formula>NOT(ISERROR(SEARCH("Not yet due",G55)))</formula>
    </cfRule>
    <cfRule type="containsText" dxfId="851" priority="877" operator="containsText" text="Not Yet Due">
      <formula>NOT(ISERROR(SEARCH("Not Yet Due",G55)))</formula>
    </cfRule>
    <cfRule type="containsText" dxfId="850" priority="878" operator="containsText" text="Deferred">
      <formula>NOT(ISERROR(SEARCH("Deferred",G55)))</formula>
    </cfRule>
    <cfRule type="containsText" dxfId="849" priority="879" operator="containsText" text="Deleted">
      <formula>NOT(ISERROR(SEARCH("Deleted",G55)))</formula>
    </cfRule>
    <cfRule type="containsText" dxfId="848" priority="880" operator="containsText" text="In Danger of Falling Behind Target">
      <formula>NOT(ISERROR(SEARCH("In Danger of Falling Behind Target",G55)))</formula>
    </cfRule>
    <cfRule type="containsText" dxfId="847" priority="881" operator="containsText" text="Not yet due">
      <formula>NOT(ISERROR(SEARCH("Not yet due",G55)))</formula>
    </cfRule>
    <cfRule type="containsText" dxfId="846" priority="882" operator="containsText" text="Completed Behind Schedule">
      <formula>NOT(ISERROR(SEARCH("Completed Behind Schedule",G55)))</formula>
    </cfRule>
    <cfRule type="containsText" dxfId="845" priority="883" operator="containsText" text="Off Target">
      <formula>NOT(ISERROR(SEARCH("Off Target",G55)))</formula>
    </cfRule>
    <cfRule type="containsText" dxfId="844" priority="884" operator="containsText" text="In Danger of Falling Behind Target">
      <formula>NOT(ISERROR(SEARCH("In Danger of Falling Behind Target",G55)))</formula>
    </cfRule>
    <cfRule type="containsText" dxfId="843" priority="885" operator="containsText" text="On Track to be Achieved">
      <formula>NOT(ISERROR(SEARCH("On Track to be Achieved",G55)))</formula>
    </cfRule>
    <cfRule type="containsText" dxfId="842" priority="886" operator="containsText" text="Fully Achieved">
      <formula>NOT(ISERROR(SEARCH("Fully Achieved",G55)))</formula>
    </cfRule>
    <cfRule type="containsText" dxfId="841" priority="887" operator="containsText" text="Update not Provided">
      <formula>NOT(ISERROR(SEARCH("Update not Provided",G55)))</formula>
    </cfRule>
    <cfRule type="containsText" dxfId="840" priority="888" operator="containsText" text="Not yet due">
      <formula>NOT(ISERROR(SEARCH("Not yet due",G55)))</formula>
    </cfRule>
    <cfRule type="containsText" dxfId="839" priority="889" operator="containsText" text="Completed Behind Schedule">
      <formula>NOT(ISERROR(SEARCH("Completed Behind Schedule",G55)))</formula>
    </cfRule>
    <cfRule type="containsText" dxfId="838" priority="890" operator="containsText" text="Off Target">
      <formula>NOT(ISERROR(SEARCH("Off Target",G55)))</formula>
    </cfRule>
    <cfRule type="containsText" dxfId="837" priority="891" operator="containsText" text="In Danger of Falling Behind Target">
      <formula>NOT(ISERROR(SEARCH("In Danger of Falling Behind Target",G55)))</formula>
    </cfRule>
    <cfRule type="containsText" dxfId="836" priority="892" operator="containsText" text="On Track to be Achieved">
      <formula>NOT(ISERROR(SEARCH("On Track to be Achieved",G55)))</formula>
    </cfRule>
    <cfRule type="containsText" dxfId="835" priority="893" operator="containsText" text="Fully Achieved">
      <formula>NOT(ISERROR(SEARCH("Fully Achieved",G55)))</formula>
    </cfRule>
    <cfRule type="containsText" dxfId="834" priority="894" operator="containsText" text="Fully Achieved">
      <formula>NOT(ISERROR(SEARCH("Fully Achieved",G55)))</formula>
    </cfRule>
    <cfRule type="containsText" dxfId="833" priority="895" operator="containsText" text="Fully Achieved">
      <formula>NOT(ISERROR(SEARCH("Fully Achieved",G55)))</formula>
    </cfRule>
    <cfRule type="containsText" dxfId="832" priority="896" operator="containsText" text="Deferred">
      <formula>NOT(ISERROR(SEARCH("Deferred",G55)))</formula>
    </cfRule>
    <cfRule type="containsText" dxfId="831" priority="897" operator="containsText" text="Deleted">
      <formula>NOT(ISERROR(SEARCH("Deleted",G55)))</formula>
    </cfRule>
    <cfRule type="containsText" dxfId="830" priority="898" operator="containsText" text="In Danger of Falling Behind Target">
      <formula>NOT(ISERROR(SEARCH("In Danger of Falling Behind Target",G55)))</formula>
    </cfRule>
    <cfRule type="containsText" dxfId="829" priority="899" operator="containsText" text="Not yet due">
      <formula>NOT(ISERROR(SEARCH("Not yet due",G55)))</formula>
    </cfRule>
    <cfRule type="containsText" dxfId="828" priority="900" operator="containsText" text="Update not Provided">
      <formula>NOT(ISERROR(SEARCH("Update not Provided",G55)))</formula>
    </cfRule>
  </conditionalFormatting>
  <conditionalFormatting sqref="G55">
    <cfRule type="containsText" dxfId="827" priority="829" operator="containsText" text="On track to be achieved">
      <formula>NOT(ISERROR(SEARCH("On track to be achieved",G55)))</formula>
    </cfRule>
    <cfRule type="containsText" dxfId="826" priority="830" operator="containsText" text="Deferred">
      <formula>NOT(ISERROR(SEARCH("Deferred",G55)))</formula>
    </cfRule>
    <cfRule type="containsText" dxfId="825" priority="831" operator="containsText" text="Deleted">
      <formula>NOT(ISERROR(SEARCH("Deleted",G55)))</formula>
    </cfRule>
    <cfRule type="containsText" dxfId="824" priority="832" operator="containsText" text="In Danger of Falling Behind Target">
      <formula>NOT(ISERROR(SEARCH("In Danger of Falling Behind Target",G55)))</formula>
    </cfRule>
    <cfRule type="containsText" dxfId="823" priority="833" operator="containsText" text="Not yet due">
      <formula>NOT(ISERROR(SEARCH("Not yet due",G55)))</formula>
    </cfRule>
    <cfRule type="containsText" dxfId="822" priority="834" operator="containsText" text="Update not Provided">
      <formula>NOT(ISERROR(SEARCH("Update not Provided",G55)))</formula>
    </cfRule>
    <cfRule type="containsText" dxfId="821" priority="835" operator="containsText" text="Not yet due">
      <formula>NOT(ISERROR(SEARCH("Not yet due",G55)))</formula>
    </cfRule>
    <cfRule type="containsText" dxfId="820" priority="836" operator="containsText" text="Completed Behind Schedule">
      <formula>NOT(ISERROR(SEARCH("Completed Behind Schedule",G55)))</formula>
    </cfRule>
    <cfRule type="containsText" dxfId="819" priority="837" operator="containsText" text="Off Target">
      <formula>NOT(ISERROR(SEARCH("Off Target",G55)))</formula>
    </cfRule>
    <cfRule type="containsText" dxfId="818" priority="838" operator="containsText" text="On Track to be Achieved">
      <formula>NOT(ISERROR(SEARCH("On Track to be Achieved",G55)))</formula>
    </cfRule>
    <cfRule type="containsText" dxfId="817" priority="839" operator="containsText" text="Fully Achieved">
      <formula>NOT(ISERROR(SEARCH("Fully Achieved",G55)))</formula>
    </cfRule>
    <cfRule type="containsText" dxfId="816" priority="840" operator="containsText" text="Not yet due">
      <formula>NOT(ISERROR(SEARCH("Not yet due",G55)))</formula>
    </cfRule>
    <cfRule type="containsText" dxfId="815" priority="841" operator="containsText" text="Not Yet Due">
      <formula>NOT(ISERROR(SEARCH("Not Yet Due",G55)))</formula>
    </cfRule>
    <cfRule type="containsText" dxfId="814" priority="842" operator="containsText" text="Deferred">
      <formula>NOT(ISERROR(SEARCH("Deferred",G55)))</formula>
    </cfRule>
    <cfRule type="containsText" dxfId="813" priority="843" operator="containsText" text="Deleted">
      <formula>NOT(ISERROR(SEARCH("Deleted",G55)))</formula>
    </cfRule>
    <cfRule type="containsText" dxfId="812" priority="844" operator="containsText" text="In Danger of Falling Behind Target">
      <formula>NOT(ISERROR(SEARCH("In Danger of Falling Behind Target",G55)))</formula>
    </cfRule>
    <cfRule type="containsText" dxfId="811" priority="845" operator="containsText" text="Not yet due">
      <formula>NOT(ISERROR(SEARCH("Not yet due",G55)))</formula>
    </cfRule>
    <cfRule type="containsText" dxfId="810" priority="846" operator="containsText" text="Completed Behind Schedule">
      <formula>NOT(ISERROR(SEARCH("Completed Behind Schedule",G55)))</formula>
    </cfRule>
    <cfRule type="containsText" dxfId="809" priority="847" operator="containsText" text="Off Target">
      <formula>NOT(ISERROR(SEARCH("Off Target",G55)))</formula>
    </cfRule>
    <cfRule type="containsText" dxfId="808" priority="848" operator="containsText" text="In Danger of Falling Behind Target">
      <formula>NOT(ISERROR(SEARCH("In Danger of Falling Behind Target",G55)))</formula>
    </cfRule>
    <cfRule type="containsText" dxfId="807" priority="849" operator="containsText" text="On Track to be Achieved">
      <formula>NOT(ISERROR(SEARCH("On Track to be Achieved",G55)))</formula>
    </cfRule>
    <cfRule type="containsText" dxfId="806" priority="850" operator="containsText" text="Fully Achieved">
      <formula>NOT(ISERROR(SEARCH("Fully Achieved",G55)))</formula>
    </cfRule>
    <cfRule type="containsText" dxfId="805" priority="851" operator="containsText" text="Update not Provided">
      <formula>NOT(ISERROR(SEARCH("Update not Provided",G55)))</formula>
    </cfRule>
    <cfRule type="containsText" dxfId="804" priority="852" operator="containsText" text="Not yet due">
      <formula>NOT(ISERROR(SEARCH("Not yet due",G55)))</formula>
    </cfRule>
    <cfRule type="containsText" dxfId="803" priority="853" operator="containsText" text="Completed Behind Schedule">
      <formula>NOT(ISERROR(SEARCH("Completed Behind Schedule",G55)))</formula>
    </cfRule>
    <cfRule type="containsText" dxfId="802" priority="854" operator="containsText" text="Off Target">
      <formula>NOT(ISERROR(SEARCH("Off Target",G55)))</formula>
    </cfRule>
    <cfRule type="containsText" dxfId="801" priority="855" operator="containsText" text="In Danger of Falling Behind Target">
      <formula>NOT(ISERROR(SEARCH("In Danger of Falling Behind Target",G55)))</formula>
    </cfRule>
    <cfRule type="containsText" dxfId="800" priority="856" operator="containsText" text="On Track to be Achieved">
      <formula>NOT(ISERROR(SEARCH("On Track to be Achieved",G55)))</formula>
    </cfRule>
    <cfRule type="containsText" dxfId="799" priority="857" operator="containsText" text="Fully Achieved">
      <formula>NOT(ISERROR(SEARCH("Fully Achieved",G55)))</formula>
    </cfRule>
    <cfRule type="containsText" dxfId="798" priority="858" operator="containsText" text="Fully Achieved">
      <formula>NOT(ISERROR(SEARCH("Fully Achieved",G55)))</formula>
    </cfRule>
    <cfRule type="containsText" dxfId="797" priority="859" operator="containsText" text="Fully Achieved">
      <formula>NOT(ISERROR(SEARCH("Fully Achieved",G55)))</formula>
    </cfRule>
    <cfRule type="containsText" dxfId="796" priority="860" operator="containsText" text="Deferred">
      <formula>NOT(ISERROR(SEARCH("Deferred",G55)))</formula>
    </cfRule>
    <cfRule type="containsText" dxfId="795" priority="861" operator="containsText" text="Deleted">
      <formula>NOT(ISERROR(SEARCH("Deleted",G55)))</formula>
    </cfRule>
    <cfRule type="containsText" dxfId="794" priority="862" operator="containsText" text="In Danger of Falling Behind Target">
      <formula>NOT(ISERROR(SEARCH("In Danger of Falling Behind Target",G55)))</formula>
    </cfRule>
    <cfRule type="containsText" dxfId="793" priority="863" operator="containsText" text="Not yet due">
      <formula>NOT(ISERROR(SEARCH("Not yet due",G55)))</formula>
    </cfRule>
    <cfRule type="containsText" dxfId="792" priority="864" operator="containsText" text="Update not Provided">
      <formula>NOT(ISERROR(SEARCH("Update not Provided",G55)))</formula>
    </cfRule>
  </conditionalFormatting>
  <conditionalFormatting sqref="G56:G62">
    <cfRule type="containsText" dxfId="791" priority="793" operator="containsText" text="On track to be achieved">
      <formula>NOT(ISERROR(SEARCH("On track to be achieved",G56)))</formula>
    </cfRule>
    <cfRule type="containsText" dxfId="790" priority="794" operator="containsText" text="Deferred">
      <formula>NOT(ISERROR(SEARCH("Deferred",G56)))</formula>
    </cfRule>
    <cfRule type="containsText" dxfId="789" priority="795" operator="containsText" text="Deleted">
      <formula>NOT(ISERROR(SEARCH("Deleted",G56)))</formula>
    </cfRule>
    <cfRule type="containsText" dxfId="788" priority="796" operator="containsText" text="In Danger of Falling Behind Target">
      <formula>NOT(ISERROR(SEARCH("In Danger of Falling Behind Target",G56)))</formula>
    </cfRule>
    <cfRule type="containsText" dxfId="787" priority="797" operator="containsText" text="Not yet due">
      <formula>NOT(ISERROR(SEARCH("Not yet due",G56)))</formula>
    </cfRule>
    <cfRule type="containsText" dxfId="786" priority="798" operator="containsText" text="Update not Provided">
      <formula>NOT(ISERROR(SEARCH("Update not Provided",G56)))</formula>
    </cfRule>
    <cfRule type="containsText" dxfId="785" priority="799" operator="containsText" text="Not yet due">
      <formula>NOT(ISERROR(SEARCH("Not yet due",G56)))</formula>
    </cfRule>
    <cfRule type="containsText" dxfId="784" priority="800" operator="containsText" text="Completed Behind Schedule">
      <formula>NOT(ISERROR(SEARCH("Completed Behind Schedule",G56)))</formula>
    </cfRule>
    <cfRule type="containsText" dxfId="783" priority="801" operator="containsText" text="Off Target">
      <formula>NOT(ISERROR(SEARCH("Off Target",G56)))</formula>
    </cfRule>
    <cfRule type="containsText" dxfId="782" priority="802" operator="containsText" text="On Track to be Achieved">
      <formula>NOT(ISERROR(SEARCH("On Track to be Achieved",G56)))</formula>
    </cfRule>
    <cfRule type="containsText" dxfId="781" priority="803" operator="containsText" text="Fully Achieved">
      <formula>NOT(ISERROR(SEARCH("Fully Achieved",G56)))</formula>
    </cfRule>
    <cfRule type="containsText" dxfId="780" priority="804" operator="containsText" text="Not yet due">
      <formula>NOT(ISERROR(SEARCH("Not yet due",G56)))</formula>
    </cfRule>
    <cfRule type="containsText" dxfId="779" priority="805" operator="containsText" text="Not Yet Due">
      <formula>NOT(ISERROR(SEARCH("Not Yet Due",G56)))</formula>
    </cfRule>
    <cfRule type="containsText" dxfId="778" priority="806" operator="containsText" text="Deferred">
      <formula>NOT(ISERROR(SEARCH("Deferred",G56)))</formula>
    </cfRule>
    <cfRule type="containsText" dxfId="777" priority="807" operator="containsText" text="Deleted">
      <formula>NOT(ISERROR(SEARCH("Deleted",G56)))</formula>
    </cfRule>
    <cfRule type="containsText" dxfId="776" priority="808" operator="containsText" text="In Danger of Falling Behind Target">
      <formula>NOT(ISERROR(SEARCH("In Danger of Falling Behind Target",G56)))</formula>
    </cfRule>
    <cfRule type="containsText" dxfId="775" priority="809" operator="containsText" text="Not yet due">
      <formula>NOT(ISERROR(SEARCH("Not yet due",G56)))</formula>
    </cfRule>
    <cfRule type="containsText" dxfId="774" priority="810" operator="containsText" text="Completed Behind Schedule">
      <formula>NOT(ISERROR(SEARCH("Completed Behind Schedule",G56)))</formula>
    </cfRule>
    <cfRule type="containsText" dxfId="773" priority="811" operator="containsText" text="Off Target">
      <formula>NOT(ISERROR(SEARCH("Off Target",G56)))</formula>
    </cfRule>
    <cfRule type="containsText" dxfId="772" priority="812" operator="containsText" text="In Danger of Falling Behind Target">
      <formula>NOT(ISERROR(SEARCH("In Danger of Falling Behind Target",G56)))</formula>
    </cfRule>
    <cfRule type="containsText" dxfId="771" priority="813" operator="containsText" text="On Track to be Achieved">
      <formula>NOT(ISERROR(SEARCH("On Track to be Achieved",G56)))</formula>
    </cfRule>
    <cfRule type="containsText" dxfId="770" priority="814" operator="containsText" text="Fully Achieved">
      <formula>NOT(ISERROR(SEARCH("Fully Achieved",G56)))</formula>
    </cfRule>
    <cfRule type="containsText" dxfId="769" priority="815" operator="containsText" text="Update not Provided">
      <formula>NOT(ISERROR(SEARCH("Update not Provided",G56)))</formula>
    </cfRule>
    <cfRule type="containsText" dxfId="768" priority="816" operator="containsText" text="Not yet due">
      <formula>NOT(ISERROR(SEARCH("Not yet due",G56)))</formula>
    </cfRule>
    <cfRule type="containsText" dxfId="767" priority="817" operator="containsText" text="Completed Behind Schedule">
      <formula>NOT(ISERROR(SEARCH("Completed Behind Schedule",G56)))</formula>
    </cfRule>
    <cfRule type="containsText" dxfId="766" priority="818" operator="containsText" text="Off Target">
      <formula>NOT(ISERROR(SEARCH("Off Target",G56)))</formula>
    </cfRule>
    <cfRule type="containsText" dxfId="765" priority="819" operator="containsText" text="In Danger of Falling Behind Target">
      <formula>NOT(ISERROR(SEARCH("In Danger of Falling Behind Target",G56)))</formula>
    </cfRule>
    <cfRule type="containsText" dxfId="764" priority="820" operator="containsText" text="On Track to be Achieved">
      <formula>NOT(ISERROR(SEARCH("On Track to be Achieved",G56)))</formula>
    </cfRule>
    <cfRule type="containsText" dxfId="763" priority="821" operator="containsText" text="Fully Achieved">
      <formula>NOT(ISERROR(SEARCH("Fully Achieved",G56)))</formula>
    </cfRule>
    <cfRule type="containsText" dxfId="762" priority="822" operator="containsText" text="Fully Achieved">
      <formula>NOT(ISERROR(SEARCH("Fully Achieved",G56)))</formula>
    </cfRule>
    <cfRule type="containsText" dxfId="761" priority="823" operator="containsText" text="Fully Achieved">
      <formula>NOT(ISERROR(SEARCH("Fully Achieved",G56)))</formula>
    </cfRule>
    <cfRule type="containsText" dxfId="760" priority="824" operator="containsText" text="Deferred">
      <formula>NOT(ISERROR(SEARCH("Deferred",G56)))</formula>
    </cfRule>
    <cfRule type="containsText" dxfId="759" priority="825" operator="containsText" text="Deleted">
      <formula>NOT(ISERROR(SEARCH("Deleted",G56)))</formula>
    </cfRule>
    <cfRule type="containsText" dxfId="758" priority="826" operator="containsText" text="In Danger of Falling Behind Target">
      <formula>NOT(ISERROR(SEARCH("In Danger of Falling Behind Target",G56)))</formula>
    </cfRule>
    <cfRule type="containsText" dxfId="757" priority="827" operator="containsText" text="Not yet due">
      <formula>NOT(ISERROR(SEARCH("Not yet due",G56)))</formula>
    </cfRule>
    <cfRule type="containsText" dxfId="756" priority="828" operator="containsText" text="Update not Provided">
      <formula>NOT(ISERROR(SEARCH("Update not Provided",G56)))</formula>
    </cfRule>
  </conditionalFormatting>
  <conditionalFormatting sqref="G64:G70">
    <cfRule type="containsText" dxfId="755" priority="721" operator="containsText" text="On track to be achieved">
      <formula>NOT(ISERROR(SEARCH("On track to be achieved",G64)))</formula>
    </cfRule>
    <cfRule type="containsText" dxfId="754" priority="722" operator="containsText" text="Deferred">
      <formula>NOT(ISERROR(SEARCH("Deferred",G64)))</formula>
    </cfRule>
    <cfRule type="containsText" dxfId="753" priority="723" operator="containsText" text="Deleted">
      <formula>NOT(ISERROR(SEARCH("Deleted",G64)))</formula>
    </cfRule>
    <cfRule type="containsText" dxfId="752" priority="724" operator="containsText" text="In Danger of Falling Behind Target">
      <formula>NOT(ISERROR(SEARCH("In Danger of Falling Behind Target",G64)))</formula>
    </cfRule>
    <cfRule type="containsText" dxfId="751" priority="725" operator="containsText" text="Not yet due">
      <formula>NOT(ISERROR(SEARCH("Not yet due",G64)))</formula>
    </cfRule>
    <cfRule type="containsText" dxfId="750" priority="726" operator="containsText" text="Update not Provided">
      <formula>NOT(ISERROR(SEARCH("Update not Provided",G64)))</formula>
    </cfRule>
    <cfRule type="containsText" dxfId="749" priority="727" operator="containsText" text="Not yet due">
      <formula>NOT(ISERROR(SEARCH("Not yet due",G64)))</formula>
    </cfRule>
    <cfRule type="containsText" dxfId="748" priority="728" operator="containsText" text="Completed Behind Schedule">
      <formula>NOT(ISERROR(SEARCH("Completed Behind Schedule",G64)))</formula>
    </cfRule>
    <cfRule type="containsText" dxfId="747" priority="729" operator="containsText" text="Off Target">
      <formula>NOT(ISERROR(SEARCH("Off Target",G64)))</formula>
    </cfRule>
    <cfRule type="containsText" dxfId="746" priority="730" operator="containsText" text="On Track to be Achieved">
      <formula>NOT(ISERROR(SEARCH("On Track to be Achieved",G64)))</formula>
    </cfRule>
    <cfRule type="containsText" dxfId="745" priority="731" operator="containsText" text="Fully Achieved">
      <formula>NOT(ISERROR(SEARCH("Fully Achieved",G64)))</formula>
    </cfRule>
    <cfRule type="containsText" dxfId="744" priority="732" operator="containsText" text="Not yet due">
      <formula>NOT(ISERROR(SEARCH("Not yet due",G64)))</formula>
    </cfRule>
    <cfRule type="containsText" dxfId="743" priority="733" operator="containsText" text="Not Yet Due">
      <formula>NOT(ISERROR(SEARCH("Not Yet Due",G64)))</formula>
    </cfRule>
    <cfRule type="containsText" dxfId="742" priority="734" operator="containsText" text="Deferred">
      <formula>NOT(ISERROR(SEARCH("Deferred",G64)))</formula>
    </cfRule>
    <cfRule type="containsText" dxfId="741" priority="735" operator="containsText" text="Deleted">
      <formula>NOT(ISERROR(SEARCH("Deleted",G64)))</formula>
    </cfRule>
    <cfRule type="containsText" dxfId="740" priority="736" operator="containsText" text="In Danger of Falling Behind Target">
      <formula>NOT(ISERROR(SEARCH("In Danger of Falling Behind Target",G64)))</formula>
    </cfRule>
    <cfRule type="containsText" dxfId="739" priority="737" operator="containsText" text="Not yet due">
      <formula>NOT(ISERROR(SEARCH("Not yet due",G64)))</formula>
    </cfRule>
    <cfRule type="containsText" dxfId="738" priority="738" operator="containsText" text="Completed Behind Schedule">
      <formula>NOT(ISERROR(SEARCH("Completed Behind Schedule",G64)))</formula>
    </cfRule>
    <cfRule type="containsText" dxfId="737" priority="739" operator="containsText" text="Off Target">
      <formula>NOT(ISERROR(SEARCH("Off Target",G64)))</formula>
    </cfRule>
    <cfRule type="containsText" dxfId="736" priority="740" operator="containsText" text="In Danger of Falling Behind Target">
      <formula>NOT(ISERROR(SEARCH("In Danger of Falling Behind Target",G64)))</formula>
    </cfRule>
    <cfRule type="containsText" dxfId="735" priority="741" operator="containsText" text="On Track to be Achieved">
      <formula>NOT(ISERROR(SEARCH("On Track to be Achieved",G64)))</formula>
    </cfRule>
    <cfRule type="containsText" dxfId="734" priority="742" operator="containsText" text="Fully Achieved">
      <formula>NOT(ISERROR(SEARCH("Fully Achieved",G64)))</formula>
    </cfRule>
    <cfRule type="containsText" dxfId="733" priority="743" operator="containsText" text="Update not Provided">
      <formula>NOT(ISERROR(SEARCH("Update not Provided",G64)))</formula>
    </cfRule>
    <cfRule type="containsText" dxfId="732" priority="744" operator="containsText" text="Not yet due">
      <formula>NOT(ISERROR(SEARCH("Not yet due",G64)))</formula>
    </cfRule>
    <cfRule type="containsText" dxfId="731" priority="745" operator="containsText" text="Completed Behind Schedule">
      <formula>NOT(ISERROR(SEARCH("Completed Behind Schedule",G64)))</formula>
    </cfRule>
    <cfRule type="containsText" dxfId="730" priority="746" operator="containsText" text="Off Target">
      <formula>NOT(ISERROR(SEARCH("Off Target",G64)))</formula>
    </cfRule>
    <cfRule type="containsText" dxfId="729" priority="747" operator="containsText" text="In Danger of Falling Behind Target">
      <formula>NOT(ISERROR(SEARCH("In Danger of Falling Behind Target",G64)))</formula>
    </cfRule>
    <cfRule type="containsText" dxfId="728" priority="748" operator="containsText" text="On Track to be Achieved">
      <formula>NOT(ISERROR(SEARCH("On Track to be Achieved",G64)))</formula>
    </cfRule>
    <cfRule type="containsText" dxfId="727" priority="749" operator="containsText" text="Fully Achieved">
      <formula>NOT(ISERROR(SEARCH("Fully Achieved",G64)))</formula>
    </cfRule>
    <cfRule type="containsText" dxfId="726" priority="750" operator="containsText" text="Fully Achieved">
      <formula>NOT(ISERROR(SEARCH("Fully Achieved",G64)))</formula>
    </cfRule>
    <cfRule type="containsText" dxfId="725" priority="751" operator="containsText" text="Fully Achieved">
      <formula>NOT(ISERROR(SEARCH("Fully Achieved",G64)))</formula>
    </cfRule>
    <cfRule type="containsText" dxfId="724" priority="752" operator="containsText" text="Deferred">
      <formula>NOT(ISERROR(SEARCH("Deferred",G64)))</formula>
    </cfRule>
    <cfRule type="containsText" dxfId="723" priority="753" operator="containsText" text="Deleted">
      <formula>NOT(ISERROR(SEARCH("Deleted",G64)))</formula>
    </cfRule>
    <cfRule type="containsText" dxfId="722" priority="754" operator="containsText" text="In Danger of Falling Behind Target">
      <formula>NOT(ISERROR(SEARCH("In Danger of Falling Behind Target",G64)))</formula>
    </cfRule>
    <cfRule type="containsText" dxfId="721" priority="755" operator="containsText" text="Not yet due">
      <formula>NOT(ISERROR(SEARCH("Not yet due",G64)))</formula>
    </cfRule>
    <cfRule type="containsText" dxfId="720" priority="756" operator="containsText" text="Update not Provided">
      <formula>NOT(ISERROR(SEARCH("Update not Provided",G64)))</formula>
    </cfRule>
  </conditionalFormatting>
  <conditionalFormatting sqref="G71">
    <cfRule type="containsText" dxfId="719" priority="685" operator="containsText" text="On track to be achieved">
      <formula>NOT(ISERROR(SEARCH("On track to be achieved",G71)))</formula>
    </cfRule>
    <cfRule type="containsText" dxfId="718" priority="686" operator="containsText" text="Deferred">
      <formula>NOT(ISERROR(SEARCH("Deferred",G71)))</formula>
    </cfRule>
    <cfRule type="containsText" dxfId="717" priority="687" operator="containsText" text="Deleted">
      <formula>NOT(ISERROR(SEARCH("Deleted",G71)))</formula>
    </cfRule>
    <cfRule type="containsText" dxfId="716" priority="688" operator="containsText" text="In Danger of Falling Behind Target">
      <formula>NOT(ISERROR(SEARCH("In Danger of Falling Behind Target",G71)))</formula>
    </cfRule>
    <cfRule type="containsText" dxfId="715" priority="689" operator="containsText" text="Not yet due">
      <formula>NOT(ISERROR(SEARCH("Not yet due",G71)))</formula>
    </cfRule>
    <cfRule type="containsText" dxfId="714" priority="690" operator="containsText" text="Update not Provided">
      <formula>NOT(ISERROR(SEARCH("Update not Provided",G71)))</formula>
    </cfRule>
    <cfRule type="containsText" dxfId="713" priority="691" operator="containsText" text="Not yet due">
      <formula>NOT(ISERROR(SEARCH("Not yet due",G71)))</formula>
    </cfRule>
    <cfRule type="containsText" dxfId="712" priority="692" operator="containsText" text="Completed Behind Schedule">
      <formula>NOT(ISERROR(SEARCH("Completed Behind Schedule",G71)))</formula>
    </cfRule>
    <cfRule type="containsText" dxfId="711" priority="693" operator="containsText" text="Off Target">
      <formula>NOT(ISERROR(SEARCH("Off Target",G71)))</formula>
    </cfRule>
    <cfRule type="containsText" dxfId="710" priority="694" operator="containsText" text="On Track to be Achieved">
      <formula>NOT(ISERROR(SEARCH("On Track to be Achieved",G71)))</formula>
    </cfRule>
    <cfRule type="containsText" dxfId="709" priority="695" operator="containsText" text="Fully Achieved">
      <formula>NOT(ISERROR(SEARCH("Fully Achieved",G71)))</formula>
    </cfRule>
    <cfRule type="containsText" dxfId="708" priority="696" operator="containsText" text="Not yet due">
      <formula>NOT(ISERROR(SEARCH("Not yet due",G71)))</formula>
    </cfRule>
    <cfRule type="containsText" dxfId="707" priority="697" operator="containsText" text="Not Yet Due">
      <formula>NOT(ISERROR(SEARCH("Not Yet Due",G71)))</formula>
    </cfRule>
    <cfRule type="containsText" dxfId="706" priority="698" operator="containsText" text="Deferred">
      <formula>NOT(ISERROR(SEARCH("Deferred",G71)))</formula>
    </cfRule>
    <cfRule type="containsText" dxfId="705" priority="699" operator="containsText" text="Deleted">
      <formula>NOT(ISERROR(SEARCH("Deleted",G71)))</formula>
    </cfRule>
    <cfRule type="containsText" dxfId="704" priority="700" operator="containsText" text="In Danger of Falling Behind Target">
      <formula>NOT(ISERROR(SEARCH("In Danger of Falling Behind Target",G71)))</formula>
    </cfRule>
    <cfRule type="containsText" dxfId="703" priority="701" operator="containsText" text="Not yet due">
      <formula>NOT(ISERROR(SEARCH("Not yet due",G71)))</formula>
    </cfRule>
    <cfRule type="containsText" dxfId="702" priority="702" operator="containsText" text="Completed Behind Schedule">
      <formula>NOT(ISERROR(SEARCH("Completed Behind Schedule",G71)))</formula>
    </cfRule>
    <cfRule type="containsText" dxfId="701" priority="703" operator="containsText" text="Off Target">
      <formula>NOT(ISERROR(SEARCH("Off Target",G71)))</formula>
    </cfRule>
    <cfRule type="containsText" dxfId="700" priority="704" operator="containsText" text="In Danger of Falling Behind Target">
      <formula>NOT(ISERROR(SEARCH("In Danger of Falling Behind Target",G71)))</formula>
    </cfRule>
    <cfRule type="containsText" dxfId="699" priority="705" operator="containsText" text="On Track to be Achieved">
      <formula>NOT(ISERROR(SEARCH("On Track to be Achieved",G71)))</formula>
    </cfRule>
    <cfRule type="containsText" dxfId="698" priority="706" operator="containsText" text="Fully Achieved">
      <formula>NOT(ISERROR(SEARCH("Fully Achieved",G71)))</formula>
    </cfRule>
    <cfRule type="containsText" dxfId="697" priority="707" operator="containsText" text="Update not Provided">
      <formula>NOT(ISERROR(SEARCH("Update not Provided",G71)))</formula>
    </cfRule>
    <cfRule type="containsText" dxfId="696" priority="708" operator="containsText" text="Not yet due">
      <formula>NOT(ISERROR(SEARCH("Not yet due",G71)))</formula>
    </cfRule>
    <cfRule type="containsText" dxfId="695" priority="709" operator="containsText" text="Completed Behind Schedule">
      <formula>NOT(ISERROR(SEARCH("Completed Behind Schedule",G71)))</formula>
    </cfRule>
    <cfRule type="containsText" dxfId="694" priority="710" operator="containsText" text="Off Target">
      <formula>NOT(ISERROR(SEARCH("Off Target",G71)))</formula>
    </cfRule>
    <cfRule type="containsText" dxfId="693" priority="711" operator="containsText" text="In Danger of Falling Behind Target">
      <formula>NOT(ISERROR(SEARCH("In Danger of Falling Behind Target",G71)))</formula>
    </cfRule>
    <cfRule type="containsText" dxfId="692" priority="712" operator="containsText" text="On Track to be Achieved">
      <formula>NOT(ISERROR(SEARCH("On Track to be Achieved",G71)))</formula>
    </cfRule>
    <cfRule type="containsText" dxfId="691" priority="713" operator="containsText" text="Fully Achieved">
      <formula>NOT(ISERROR(SEARCH("Fully Achieved",G71)))</formula>
    </cfRule>
    <cfRule type="containsText" dxfId="690" priority="714" operator="containsText" text="Fully Achieved">
      <formula>NOT(ISERROR(SEARCH("Fully Achieved",G71)))</formula>
    </cfRule>
    <cfRule type="containsText" dxfId="689" priority="715" operator="containsText" text="Fully Achieved">
      <formula>NOT(ISERROR(SEARCH("Fully Achieved",G71)))</formula>
    </cfRule>
    <cfRule type="containsText" dxfId="688" priority="716" operator="containsText" text="Deferred">
      <formula>NOT(ISERROR(SEARCH("Deferred",G71)))</formula>
    </cfRule>
    <cfRule type="containsText" dxfId="687" priority="717" operator="containsText" text="Deleted">
      <formula>NOT(ISERROR(SEARCH("Deleted",G71)))</formula>
    </cfRule>
    <cfRule type="containsText" dxfId="686" priority="718" operator="containsText" text="In Danger of Falling Behind Target">
      <formula>NOT(ISERROR(SEARCH("In Danger of Falling Behind Target",G71)))</formula>
    </cfRule>
    <cfRule type="containsText" dxfId="685" priority="719" operator="containsText" text="Not yet due">
      <formula>NOT(ISERROR(SEARCH("Not yet due",G71)))</formula>
    </cfRule>
    <cfRule type="containsText" dxfId="684" priority="720" operator="containsText" text="Update not Provided">
      <formula>NOT(ISERROR(SEARCH("Update not Provided",G71)))</formula>
    </cfRule>
  </conditionalFormatting>
  <conditionalFormatting sqref="G71">
    <cfRule type="containsText" dxfId="683" priority="649" operator="containsText" text="On track to be achieved">
      <formula>NOT(ISERROR(SEARCH("On track to be achieved",G71)))</formula>
    </cfRule>
    <cfRule type="containsText" dxfId="682" priority="650" operator="containsText" text="Deferred">
      <formula>NOT(ISERROR(SEARCH("Deferred",G71)))</formula>
    </cfRule>
    <cfRule type="containsText" dxfId="681" priority="651" operator="containsText" text="Deleted">
      <formula>NOT(ISERROR(SEARCH("Deleted",G71)))</formula>
    </cfRule>
    <cfRule type="containsText" dxfId="680" priority="652" operator="containsText" text="In Danger of Falling Behind Target">
      <formula>NOT(ISERROR(SEARCH("In Danger of Falling Behind Target",G71)))</formula>
    </cfRule>
    <cfRule type="containsText" dxfId="679" priority="653" operator="containsText" text="Not yet due">
      <formula>NOT(ISERROR(SEARCH("Not yet due",G71)))</formula>
    </cfRule>
    <cfRule type="containsText" dxfId="678" priority="654" operator="containsText" text="Update not Provided">
      <formula>NOT(ISERROR(SEARCH("Update not Provided",G71)))</formula>
    </cfRule>
    <cfRule type="containsText" dxfId="677" priority="655" operator="containsText" text="Not yet due">
      <formula>NOT(ISERROR(SEARCH("Not yet due",G71)))</formula>
    </cfRule>
    <cfRule type="containsText" dxfId="676" priority="656" operator="containsText" text="Completed Behind Schedule">
      <formula>NOT(ISERROR(SEARCH("Completed Behind Schedule",G71)))</formula>
    </cfRule>
    <cfRule type="containsText" dxfId="675" priority="657" operator="containsText" text="Off Target">
      <formula>NOT(ISERROR(SEARCH("Off Target",G71)))</formula>
    </cfRule>
    <cfRule type="containsText" dxfId="674" priority="658" operator="containsText" text="On Track to be Achieved">
      <formula>NOT(ISERROR(SEARCH("On Track to be Achieved",G71)))</formula>
    </cfRule>
    <cfRule type="containsText" dxfId="673" priority="659" operator="containsText" text="Fully Achieved">
      <formula>NOT(ISERROR(SEARCH("Fully Achieved",G71)))</formula>
    </cfRule>
    <cfRule type="containsText" dxfId="672" priority="660" operator="containsText" text="Not yet due">
      <formula>NOT(ISERROR(SEARCH("Not yet due",G71)))</formula>
    </cfRule>
    <cfRule type="containsText" dxfId="671" priority="661" operator="containsText" text="Not Yet Due">
      <formula>NOT(ISERROR(SEARCH("Not Yet Due",G71)))</formula>
    </cfRule>
    <cfRule type="containsText" dxfId="670" priority="662" operator="containsText" text="Deferred">
      <formula>NOT(ISERROR(SEARCH("Deferred",G71)))</formula>
    </cfRule>
    <cfRule type="containsText" dxfId="669" priority="663" operator="containsText" text="Deleted">
      <formula>NOT(ISERROR(SEARCH("Deleted",G71)))</formula>
    </cfRule>
    <cfRule type="containsText" dxfId="668" priority="664" operator="containsText" text="In Danger of Falling Behind Target">
      <formula>NOT(ISERROR(SEARCH("In Danger of Falling Behind Target",G71)))</formula>
    </cfRule>
    <cfRule type="containsText" dxfId="667" priority="665" operator="containsText" text="Not yet due">
      <formula>NOT(ISERROR(SEARCH("Not yet due",G71)))</formula>
    </cfRule>
    <cfRule type="containsText" dxfId="666" priority="666" operator="containsText" text="Completed Behind Schedule">
      <formula>NOT(ISERROR(SEARCH("Completed Behind Schedule",G71)))</formula>
    </cfRule>
    <cfRule type="containsText" dxfId="665" priority="667" operator="containsText" text="Off Target">
      <formula>NOT(ISERROR(SEARCH("Off Target",G71)))</formula>
    </cfRule>
    <cfRule type="containsText" dxfId="664" priority="668" operator="containsText" text="In Danger of Falling Behind Target">
      <formula>NOT(ISERROR(SEARCH("In Danger of Falling Behind Target",G71)))</formula>
    </cfRule>
    <cfRule type="containsText" dxfId="663" priority="669" operator="containsText" text="On Track to be Achieved">
      <formula>NOT(ISERROR(SEARCH("On Track to be Achieved",G71)))</formula>
    </cfRule>
    <cfRule type="containsText" dxfId="662" priority="670" operator="containsText" text="Fully Achieved">
      <formula>NOT(ISERROR(SEARCH("Fully Achieved",G71)))</formula>
    </cfRule>
    <cfRule type="containsText" dxfId="661" priority="671" operator="containsText" text="Update not Provided">
      <formula>NOT(ISERROR(SEARCH("Update not Provided",G71)))</formula>
    </cfRule>
    <cfRule type="containsText" dxfId="660" priority="672" operator="containsText" text="Not yet due">
      <formula>NOT(ISERROR(SEARCH("Not yet due",G71)))</formula>
    </cfRule>
    <cfRule type="containsText" dxfId="659" priority="673" operator="containsText" text="Completed Behind Schedule">
      <formula>NOT(ISERROR(SEARCH("Completed Behind Schedule",G71)))</formula>
    </cfRule>
    <cfRule type="containsText" dxfId="658" priority="674" operator="containsText" text="Off Target">
      <formula>NOT(ISERROR(SEARCH("Off Target",G71)))</formula>
    </cfRule>
    <cfRule type="containsText" dxfId="657" priority="675" operator="containsText" text="In Danger of Falling Behind Target">
      <formula>NOT(ISERROR(SEARCH("In Danger of Falling Behind Target",G71)))</formula>
    </cfRule>
    <cfRule type="containsText" dxfId="656" priority="676" operator="containsText" text="On Track to be Achieved">
      <formula>NOT(ISERROR(SEARCH("On Track to be Achieved",G71)))</formula>
    </cfRule>
    <cfRule type="containsText" dxfId="655" priority="677" operator="containsText" text="Fully Achieved">
      <formula>NOT(ISERROR(SEARCH("Fully Achieved",G71)))</formula>
    </cfRule>
    <cfRule type="containsText" dxfId="654" priority="678" operator="containsText" text="Fully Achieved">
      <formula>NOT(ISERROR(SEARCH("Fully Achieved",G71)))</formula>
    </cfRule>
    <cfRule type="containsText" dxfId="653" priority="679" operator="containsText" text="Fully Achieved">
      <formula>NOT(ISERROR(SEARCH("Fully Achieved",G71)))</formula>
    </cfRule>
    <cfRule type="containsText" dxfId="652" priority="680" operator="containsText" text="Deferred">
      <formula>NOT(ISERROR(SEARCH("Deferred",G71)))</formula>
    </cfRule>
    <cfRule type="containsText" dxfId="651" priority="681" operator="containsText" text="Deleted">
      <formula>NOT(ISERROR(SEARCH("Deleted",G71)))</formula>
    </cfRule>
    <cfRule type="containsText" dxfId="650" priority="682" operator="containsText" text="In Danger of Falling Behind Target">
      <formula>NOT(ISERROR(SEARCH("In Danger of Falling Behind Target",G71)))</formula>
    </cfRule>
    <cfRule type="containsText" dxfId="649" priority="683" operator="containsText" text="Not yet due">
      <formula>NOT(ISERROR(SEARCH("Not yet due",G71)))</formula>
    </cfRule>
    <cfRule type="containsText" dxfId="648" priority="684" operator="containsText" text="Update not Provided">
      <formula>NOT(ISERROR(SEARCH("Update not Provided",G71)))</formula>
    </cfRule>
  </conditionalFormatting>
  <conditionalFormatting sqref="G71">
    <cfRule type="containsText" dxfId="647" priority="613" operator="containsText" text="On track to be achieved">
      <formula>NOT(ISERROR(SEARCH("On track to be achieved",G71)))</formula>
    </cfRule>
    <cfRule type="containsText" dxfId="646" priority="614" operator="containsText" text="Deferred">
      <formula>NOT(ISERROR(SEARCH("Deferred",G71)))</formula>
    </cfRule>
    <cfRule type="containsText" dxfId="645" priority="615" operator="containsText" text="Deleted">
      <formula>NOT(ISERROR(SEARCH("Deleted",G71)))</formula>
    </cfRule>
    <cfRule type="containsText" dxfId="644" priority="616" operator="containsText" text="In Danger of Falling Behind Target">
      <formula>NOT(ISERROR(SEARCH("In Danger of Falling Behind Target",G71)))</formula>
    </cfRule>
    <cfRule type="containsText" dxfId="643" priority="617" operator="containsText" text="Not yet due">
      <formula>NOT(ISERROR(SEARCH("Not yet due",G71)))</formula>
    </cfRule>
    <cfRule type="containsText" dxfId="642" priority="618" operator="containsText" text="Update not Provided">
      <formula>NOT(ISERROR(SEARCH("Update not Provided",G71)))</formula>
    </cfRule>
    <cfRule type="containsText" dxfId="641" priority="619" operator="containsText" text="Not yet due">
      <formula>NOT(ISERROR(SEARCH("Not yet due",G71)))</formula>
    </cfRule>
    <cfRule type="containsText" dxfId="640" priority="620" operator="containsText" text="Completed Behind Schedule">
      <formula>NOT(ISERROR(SEARCH("Completed Behind Schedule",G71)))</formula>
    </cfRule>
    <cfRule type="containsText" dxfId="639" priority="621" operator="containsText" text="Off Target">
      <formula>NOT(ISERROR(SEARCH("Off Target",G71)))</formula>
    </cfRule>
    <cfRule type="containsText" dxfId="638" priority="622" operator="containsText" text="On Track to be Achieved">
      <formula>NOT(ISERROR(SEARCH("On Track to be Achieved",G71)))</formula>
    </cfRule>
    <cfRule type="containsText" dxfId="637" priority="623" operator="containsText" text="Fully Achieved">
      <formula>NOT(ISERROR(SEARCH("Fully Achieved",G71)))</formula>
    </cfRule>
    <cfRule type="containsText" dxfId="636" priority="624" operator="containsText" text="Not yet due">
      <formula>NOT(ISERROR(SEARCH("Not yet due",G71)))</formula>
    </cfRule>
    <cfRule type="containsText" dxfId="635" priority="625" operator="containsText" text="Not Yet Due">
      <formula>NOT(ISERROR(SEARCH("Not Yet Due",G71)))</formula>
    </cfRule>
    <cfRule type="containsText" dxfId="634" priority="626" operator="containsText" text="Deferred">
      <formula>NOT(ISERROR(SEARCH("Deferred",G71)))</formula>
    </cfRule>
    <cfRule type="containsText" dxfId="633" priority="627" operator="containsText" text="Deleted">
      <formula>NOT(ISERROR(SEARCH("Deleted",G71)))</formula>
    </cfRule>
    <cfRule type="containsText" dxfId="632" priority="628" operator="containsText" text="In Danger of Falling Behind Target">
      <formula>NOT(ISERROR(SEARCH("In Danger of Falling Behind Target",G71)))</formula>
    </cfRule>
    <cfRule type="containsText" dxfId="631" priority="629" operator="containsText" text="Not yet due">
      <formula>NOT(ISERROR(SEARCH("Not yet due",G71)))</formula>
    </cfRule>
    <cfRule type="containsText" dxfId="630" priority="630" operator="containsText" text="Completed Behind Schedule">
      <formula>NOT(ISERROR(SEARCH("Completed Behind Schedule",G71)))</formula>
    </cfRule>
    <cfRule type="containsText" dxfId="629" priority="631" operator="containsText" text="Off Target">
      <formula>NOT(ISERROR(SEARCH("Off Target",G71)))</formula>
    </cfRule>
    <cfRule type="containsText" dxfId="628" priority="632" operator="containsText" text="In Danger of Falling Behind Target">
      <formula>NOT(ISERROR(SEARCH("In Danger of Falling Behind Target",G71)))</formula>
    </cfRule>
    <cfRule type="containsText" dxfId="627" priority="633" operator="containsText" text="On Track to be Achieved">
      <formula>NOT(ISERROR(SEARCH("On Track to be Achieved",G71)))</formula>
    </cfRule>
    <cfRule type="containsText" dxfId="626" priority="634" operator="containsText" text="Fully Achieved">
      <formula>NOT(ISERROR(SEARCH("Fully Achieved",G71)))</formula>
    </cfRule>
    <cfRule type="containsText" dxfId="625" priority="635" operator="containsText" text="Update not Provided">
      <formula>NOT(ISERROR(SEARCH("Update not Provided",G71)))</formula>
    </cfRule>
    <cfRule type="containsText" dxfId="624" priority="636" operator="containsText" text="Not yet due">
      <formula>NOT(ISERROR(SEARCH("Not yet due",G71)))</formula>
    </cfRule>
    <cfRule type="containsText" dxfId="623" priority="637" operator="containsText" text="Completed Behind Schedule">
      <formula>NOT(ISERROR(SEARCH("Completed Behind Schedule",G71)))</formula>
    </cfRule>
    <cfRule type="containsText" dxfId="622" priority="638" operator="containsText" text="Off Target">
      <formula>NOT(ISERROR(SEARCH("Off Target",G71)))</formula>
    </cfRule>
    <cfRule type="containsText" dxfId="621" priority="639" operator="containsText" text="In Danger of Falling Behind Target">
      <formula>NOT(ISERROR(SEARCH("In Danger of Falling Behind Target",G71)))</formula>
    </cfRule>
    <cfRule type="containsText" dxfId="620" priority="640" operator="containsText" text="On Track to be Achieved">
      <formula>NOT(ISERROR(SEARCH("On Track to be Achieved",G71)))</formula>
    </cfRule>
    <cfRule type="containsText" dxfId="619" priority="641" operator="containsText" text="Fully Achieved">
      <formula>NOT(ISERROR(SEARCH("Fully Achieved",G71)))</formula>
    </cfRule>
    <cfRule type="containsText" dxfId="618" priority="642" operator="containsText" text="Fully Achieved">
      <formula>NOT(ISERROR(SEARCH("Fully Achieved",G71)))</formula>
    </cfRule>
    <cfRule type="containsText" dxfId="617" priority="643" operator="containsText" text="Fully Achieved">
      <formula>NOT(ISERROR(SEARCH("Fully Achieved",G71)))</formula>
    </cfRule>
    <cfRule type="containsText" dxfId="616" priority="644" operator="containsText" text="Deferred">
      <formula>NOT(ISERROR(SEARCH("Deferred",G71)))</formula>
    </cfRule>
    <cfRule type="containsText" dxfId="615" priority="645" operator="containsText" text="Deleted">
      <formula>NOT(ISERROR(SEARCH("Deleted",G71)))</formula>
    </cfRule>
    <cfRule type="containsText" dxfId="614" priority="646" operator="containsText" text="In Danger of Falling Behind Target">
      <formula>NOT(ISERROR(SEARCH("In Danger of Falling Behind Target",G71)))</formula>
    </cfRule>
    <cfRule type="containsText" dxfId="613" priority="647" operator="containsText" text="Not yet due">
      <formula>NOT(ISERROR(SEARCH("Not yet due",G71)))</formula>
    </cfRule>
    <cfRule type="containsText" dxfId="612" priority="648" operator="containsText" text="Update not Provided">
      <formula>NOT(ISERROR(SEARCH("Update not Provided",G71)))</formula>
    </cfRule>
  </conditionalFormatting>
  <conditionalFormatting sqref="G72:G73">
    <cfRule type="containsText" dxfId="611" priority="577" operator="containsText" text="On track to be achieved">
      <formula>NOT(ISERROR(SEARCH("On track to be achieved",G72)))</formula>
    </cfRule>
    <cfRule type="containsText" dxfId="610" priority="578" operator="containsText" text="Deferred">
      <formula>NOT(ISERROR(SEARCH("Deferred",G72)))</formula>
    </cfRule>
    <cfRule type="containsText" dxfId="609" priority="579" operator="containsText" text="Deleted">
      <formula>NOT(ISERROR(SEARCH("Deleted",G72)))</formula>
    </cfRule>
    <cfRule type="containsText" dxfId="608" priority="580" operator="containsText" text="In Danger of Falling Behind Target">
      <formula>NOT(ISERROR(SEARCH("In Danger of Falling Behind Target",G72)))</formula>
    </cfRule>
    <cfRule type="containsText" dxfId="607" priority="581" operator="containsText" text="Not yet due">
      <formula>NOT(ISERROR(SEARCH("Not yet due",G72)))</formula>
    </cfRule>
    <cfRule type="containsText" dxfId="606" priority="582" operator="containsText" text="Update not Provided">
      <formula>NOT(ISERROR(SEARCH("Update not Provided",G72)))</formula>
    </cfRule>
    <cfRule type="containsText" dxfId="605" priority="583" operator="containsText" text="Not yet due">
      <formula>NOT(ISERROR(SEARCH("Not yet due",G72)))</formula>
    </cfRule>
    <cfRule type="containsText" dxfId="604" priority="584" operator="containsText" text="Completed Behind Schedule">
      <formula>NOT(ISERROR(SEARCH("Completed Behind Schedule",G72)))</formula>
    </cfRule>
    <cfRule type="containsText" dxfId="603" priority="585" operator="containsText" text="Off Target">
      <formula>NOT(ISERROR(SEARCH("Off Target",G72)))</formula>
    </cfRule>
    <cfRule type="containsText" dxfId="602" priority="586" operator="containsText" text="On Track to be Achieved">
      <formula>NOT(ISERROR(SEARCH("On Track to be Achieved",G72)))</formula>
    </cfRule>
    <cfRule type="containsText" dxfId="601" priority="587" operator="containsText" text="Fully Achieved">
      <formula>NOT(ISERROR(SEARCH("Fully Achieved",G72)))</formula>
    </cfRule>
    <cfRule type="containsText" dxfId="600" priority="588" operator="containsText" text="Not yet due">
      <formula>NOT(ISERROR(SEARCH("Not yet due",G72)))</formula>
    </cfRule>
    <cfRule type="containsText" dxfId="599" priority="589" operator="containsText" text="Not Yet Due">
      <formula>NOT(ISERROR(SEARCH("Not Yet Due",G72)))</formula>
    </cfRule>
    <cfRule type="containsText" dxfId="598" priority="590" operator="containsText" text="Deferred">
      <formula>NOT(ISERROR(SEARCH("Deferred",G72)))</formula>
    </cfRule>
    <cfRule type="containsText" dxfId="597" priority="591" operator="containsText" text="Deleted">
      <formula>NOT(ISERROR(SEARCH("Deleted",G72)))</formula>
    </cfRule>
    <cfRule type="containsText" dxfId="596" priority="592" operator="containsText" text="In Danger of Falling Behind Target">
      <formula>NOT(ISERROR(SEARCH("In Danger of Falling Behind Target",G72)))</formula>
    </cfRule>
    <cfRule type="containsText" dxfId="595" priority="593" operator="containsText" text="Not yet due">
      <formula>NOT(ISERROR(SEARCH("Not yet due",G72)))</formula>
    </cfRule>
    <cfRule type="containsText" dxfId="594" priority="594" operator="containsText" text="Completed Behind Schedule">
      <formula>NOT(ISERROR(SEARCH("Completed Behind Schedule",G72)))</formula>
    </cfRule>
    <cfRule type="containsText" dxfId="593" priority="595" operator="containsText" text="Off Target">
      <formula>NOT(ISERROR(SEARCH("Off Target",G72)))</formula>
    </cfRule>
    <cfRule type="containsText" dxfId="592" priority="596" operator="containsText" text="In Danger of Falling Behind Target">
      <formula>NOT(ISERROR(SEARCH("In Danger of Falling Behind Target",G72)))</formula>
    </cfRule>
    <cfRule type="containsText" dxfId="591" priority="597" operator="containsText" text="On Track to be Achieved">
      <formula>NOT(ISERROR(SEARCH("On Track to be Achieved",G72)))</formula>
    </cfRule>
    <cfRule type="containsText" dxfId="590" priority="598" operator="containsText" text="Fully Achieved">
      <formula>NOT(ISERROR(SEARCH("Fully Achieved",G72)))</formula>
    </cfRule>
    <cfRule type="containsText" dxfId="589" priority="599" operator="containsText" text="Update not Provided">
      <formula>NOT(ISERROR(SEARCH("Update not Provided",G72)))</formula>
    </cfRule>
    <cfRule type="containsText" dxfId="588" priority="600" operator="containsText" text="Not yet due">
      <formula>NOT(ISERROR(SEARCH("Not yet due",G72)))</formula>
    </cfRule>
    <cfRule type="containsText" dxfId="587" priority="601" operator="containsText" text="Completed Behind Schedule">
      <formula>NOT(ISERROR(SEARCH("Completed Behind Schedule",G72)))</formula>
    </cfRule>
    <cfRule type="containsText" dxfId="586" priority="602" operator="containsText" text="Off Target">
      <formula>NOT(ISERROR(SEARCH("Off Target",G72)))</formula>
    </cfRule>
    <cfRule type="containsText" dxfId="585" priority="603" operator="containsText" text="In Danger of Falling Behind Target">
      <formula>NOT(ISERROR(SEARCH("In Danger of Falling Behind Target",G72)))</formula>
    </cfRule>
    <cfRule type="containsText" dxfId="584" priority="604" operator="containsText" text="On Track to be Achieved">
      <formula>NOT(ISERROR(SEARCH("On Track to be Achieved",G72)))</formula>
    </cfRule>
    <cfRule type="containsText" dxfId="583" priority="605" operator="containsText" text="Fully Achieved">
      <formula>NOT(ISERROR(SEARCH("Fully Achieved",G72)))</formula>
    </cfRule>
    <cfRule type="containsText" dxfId="582" priority="606" operator="containsText" text="Fully Achieved">
      <formula>NOT(ISERROR(SEARCH("Fully Achieved",G72)))</formula>
    </cfRule>
    <cfRule type="containsText" dxfId="581" priority="607" operator="containsText" text="Fully Achieved">
      <formula>NOT(ISERROR(SEARCH("Fully Achieved",G72)))</formula>
    </cfRule>
    <cfRule type="containsText" dxfId="580" priority="608" operator="containsText" text="Deferred">
      <formula>NOT(ISERROR(SEARCH("Deferred",G72)))</formula>
    </cfRule>
    <cfRule type="containsText" dxfId="579" priority="609" operator="containsText" text="Deleted">
      <formula>NOT(ISERROR(SEARCH("Deleted",G72)))</formula>
    </cfRule>
    <cfRule type="containsText" dxfId="578" priority="610" operator="containsText" text="In Danger of Falling Behind Target">
      <formula>NOT(ISERROR(SEARCH("In Danger of Falling Behind Target",G72)))</formula>
    </cfRule>
    <cfRule type="containsText" dxfId="577" priority="611" operator="containsText" text="Not yet due">
      <formula>NOT(ISERROR(SEARCH("Not yet due",G72)))</formula>
    </cfRule>
    <cfRule type="containsText" dxfId="576" priority="612" operator="containsText" text="Update not Provided">
      <formula>NOT(ISERROR(SEARCH("Update not Provided",G72)))</formula>
    </cfRule>
  </conditionalFormatting>
  <conditionalFormatting sqref="G72:G73">
    <cfRule type="containsText" dxfId="575" priority="541" operator="containsText" text="On track to be achieved">
      <formula>NOT(ISERROR(SEARCH("On track to be achieved",G72)))</formula>
    </cfRule>
    <cfRule type="containsText" dxfId="574" priority="542" operator="containsText" text="Deferred">
      <formula>NOT(ISERROR(SEARCH("Deferred",G72)))</formula>
    </cfRule>
    <cfRule type="containsText" dxfId="573" priority="543" operator="containsText" text="Deleted">
      <formula>NOT(ISERROR(SEARCH("Deleted",G72)))</formula>
    </cfRule>
    <cfRule type="containsText" dxfId="572" priority="544" operator="containsText" text="In Danger of Falling Behind Target">
      <formula>NOT(ISERROR(SEARCH("In Danger of Falling Behind Target",G72)))</formula>
    </cfRule>
    <cfRule type="containsText" dxfId="571" priority="545" operator="containsText" text="Not yet due">
      <formula>NOT(ISERROR(SEARCH("Not yet due",G72)))</formula>
    </cfRule>
    <cfRule type="containsText" dxfId="570" priority="546" operator="containsText" text="Update not Provided">
      <formula>NOT(ISERROR(SEARCH("Update not Provided",G72)))</formula>
    </cfRule>
    <cfRule type="containsText" dxfId="569" priority="547" operator="containsText" text="Not yet due">
      <formula>NOT(ISERROR(SEARCH("Not yet due",G72)))</formula>
    </cfRule>
    <cfRule type="containsText" dxfId="568" priority="548" operator="containsText" text="Completed Behind Schedule">
      <formula>NOT(ISERROR(SEARCH("Completed Behind Schedule",G72)))</formula>
    </cfRule>
    <cfRule type="containsText" dxfId="567" priority="549" operator="containsText" text="Off Target">
      <formula>NOT(ISERROR(SEARCH("Off Target",G72)))</formula>
    </cfRule>
    <cfRule type="containsText" dxfId="566" priority="550" operator="containsText" text="On Track to be Achieved">
      <formula>NOT(ISERROR(SEARCH("On Track to be Achieved",G72)))</formula>
    </cfRule>
    <cfRule type="containsText" dxfId="565" priority="551" operator="containsText" text="Fully Achieved">
      <formula>NOT(ISERROR(SEARCH("Fully Achieved",G72)))</formula>
    </cfRule>
    <cfRule type="containsText" dxfId="564" priority="552" operator="containsText" text="Not yet due">
      <formula>NOT(ISERROR(SEARCH("Not yet due",G72)))</formula>
    </cfRule>
    <cfRule type="containsText" dxfId="563" priority="553" operator="containsText" text="Not Yet Due">
      <formula>NOT(ISERROR(SEARCH("Not Yet Due",G72)))</formula>
    </cfRule>
    <cfRule type="containsText" dxfId="562" priority="554" operator="containsText" text="Deferred">
      <formula>NOT(ISERROR(SEARCH("Deferred",G72)))</formula>
    </cfRule>
    <cfRule type="containsText" dxfId="561" priority="555" operator="containsText" text="Deleted">
      <formula>NOT(ISERROR(SEARCH("Deleted",G72)))</formula>
    </cfRule>
    <cfRule type="containsText" dxfId="560" priority="556" operator="containsText" text="In Danger of Falling Behind Target">
      <formula>NOT(ISERROR(SEARCH("In Danger of Falling Behind Target",G72)))</formula>
    </cfRule>
    <cfRule type="containsText" dxfId="559" priority="557" operator="containsText" text="Not yet due">
      <formula>NOT(ISERROR(SEARCH("Not yet due",G72)))</formula>
    </cfRule>
    <cfRule type="containsText" dxfId="558" priority="558" operator="containsText" text="Completed Behind Schedule">
      <formula>NOT(ISERROR(SEARCH("Completed Behind Schedule",G72)))</formula>
    </cfRule>
    <cfRule type="containsText" dxfId="557" priority="559" operator="containsText" text="Off Target">
      <formula>NOT(ISERROR(SEARCH("Off Target",G72)))</formula>
    </cfRule>
    <cfRule type="containsText" dxfId="556" priority="560" operator="containsText" text="In Danger of Falling Behind Target">
      <formula>NOT(ISERROR(SEARCH("In Danger of Falling Behind Target",G72)))</formula>
    </cfRule>
    <cfRule type="containsText" dxfId="555" priority="561" operator="containsText" text="On Track to be Achieved">
      <formula>NOT(ISERROR(SEARCH("On Track to be Achieved",G72)))</formula>
    </cfRule>
    <cfRule type="containsText" dxfId="554" priority="562" operator="containsText" text="Fully Achieved">
      <formula>NOT(ISERROR(SEARCH("Fully Achieved",G72)))</formula>
    </cfRule>
    <cfRule type="containsText" dxfId="553" priority="563" operator="containsText" text="Update not Provided">
      <formula>NOT(ISERROR(SEARCH("Update not Provided",G72)))</formula>
    </cfRule>
    <cfRule type="containsText" dxfId="552" priority="564" operator="containsText" text="Not yet due">
      <formula>NOT(ISERROR(SEARCH("Not yet due",G72)))</formula>
    </cfRule>
    <cfRule type="containsText" dxfId="551" priority="565" operator="containsText" text="Completed Behind Schedule">
      <formula>NOT(ISERROR(SEARCH("Completed Behind Schedule",G72)))</formula>
    </cfRule>
    <cfRule type="containsText" dxfId="550" priority="566" operator="containsText" text="Off Target">
      <formula>NOT(ISERROR(SEARCH("Off Target",G72)))</formula>
    </cfRule>
    <cfRule type="containsText" dxfId="549" priority="567" operator="containsText" text="In Danger of Falling Behind Target">
      <formula>NOT(ISERROR(SEARCH("In Danger of Falling Behind Target",G72)))</formula>
    </cfRule>
    <cfRule type="containsText" dxfId="548" priority="568" operator="containsText" text="On Track to be Achieved">
      <formula>NOT(ISERROR(SEARCH("On Track to be Achieved",G72)))</formula>
    </cfRule>
    <cfRule type="containsText" dxfId="547" priority="569" operator="containsText" text="Fully Achieved">
      <formula>NOT(ISERROR(SEARCH("Fully Achieved",G72)))</formula>
    </cfRule>
    <cfRule type="containsText" dxfId="546" priority="570" operator="containsText" text="Fully Achieved">
      <formula>NOT(ISERROR(SEARCH("Fully Achieved",G72)))</formula>
    </cfRule>
    <cfRule type="containsText" dxfId="545" priority="571" operator="containsText" text="Fully Achieved">
      <formula>NOT(ISERROR(SEARCH("Fully Achieved",G72)))</formula>
    </cfRule>
    <cfRule type="containsText" dxfId="544" priority="572" operator="containsText" text="Deferred">
      <formula>NOT(ISERROR(SEARCH("Deferred",G72)))</formula>
    </cfRule>
    <cfRule type="containsText" dxfId="543" priority="573" operator="containsText" text="Deleted">
      <formula>NOT(ISERROR(SEARCH("Deleted",G72)))</formula>
    </cfRule>
    <cfRule type="containsText" dxfId="542" priority="574" operator="containsText" text="In Danger of Falling Behind Target">
      <formula>NOT(ISERROR(SEARCH("In Danger of Falling Behind Target",G72)))</formula>
    </cfRule>
    <cfRule type="containsText" dxfId="541" priority="575" operator="containsText" text="Not yet due">
      <formula>NOT(ISERROR(SEARCH("Not yet due",G72)))</formula>
    </cfRule>
    <cfRule type="containsText" dxfId="540" priority="576" operator="containsText" text="Update not Provided">
      <formula>NOT(ISERROR(SEARCH("Update not Provided",G72)))</formula>
    </cfRule>
  </conditionalFormatting>
  <conditionalFormatting sqref="G72:G73">
    <cfRule type="containsText" dxfId="539" priority="505" operator="containsText" text="On track to be achieved">
      <formula>NOT(ISERROR(SEARCH("On track to be achieved",G72)))</formula>
    </cfRule>
    <cfRule type="containsText" dxfId="538" priority="506" operator="containsText" text="Deferred">
      <formula>NOT(ISERROR(SEARCH("Deferred",G72)))</formula>
    </cfRule>
    <cfRule type="containsText" dxfId="537" priority="507" operator="containsText" text="Deleted">
      <formula>NOT(ISERROR(SEARCH("Deleted",G72)))</formula>
    </cfRule>
    <cfRule type="containsText" dxfId="536" priority="508" operator="containsText" text="In Danger of Falling Behind Target">
      <formula>NOT(ISERROR(SEARCH("In Danger of Falling Behind Target",G72)))</formula>
    </cfRule>
    <cfRule type="containsText" dxfId="535" priority="509" operator="containsText" text="Not yet due">
      <formula>NOT(ISERROR(SEARCH("Not yet due",G72)))</formula>
    </cfRule>
    <cfRule type="containsText" dxfId="534" priority="510" operator="containsText" text="Update not Provided">
      <formula>NOT(ISERROR(SEARCH("Update not Provided",G72)))</formula>
    </cfRule>
    <cfRule type="containsText" dxfId="533" priority="511" operator="containsText" text="Not yet due">
      <formula>NOT(ISERROR(SEARCH("Not yet due",G72)))</formula>
    </cfRule>
    <cfRule type="containsText" dxfId="532" priority="512" operator="containsText" text="Completed Behind Schedule">
      <formula>NOT(ISERROR(SEARCH("Completed Behind Schedule",G72)))</formula>
    </cfRule>
    <cfRule type="containsText" dxfId="531" priority="513" operator="containsText" text="Off Target">
      <formula>NOT(ISERROR(SEARCH("Off Target",G72)))</formula>
    </cfRule>
    <cfRule type="containsText" dxfId="530" priority="514" operator="containsText" text="On Track to be Achieved">
      <formula>NOT(ISERROR(SEARCH("On Track to be Achieved",G72)))</formula>
    </cfRule>
    <cfRule type="containsText" dxfId="529" priority="515" operator="containsText" text="Fully Achieved">
      <formula>NOT(ISERROR(SEARCH("Fully Achieved",G72)))</formula>
    </cfRule>
    <cfRule type="containsText" dxfId="528" priority="516" operator="containsText" text="Not yet due">
      <formula>NOT(ISERROR(SEARCH("Not yet due",G72)))</formula>
    </cfRule>
    <cfRule type="containsText" dxfId="527" priority="517" operator="containsText" text="Not Yet Due">
      <formula>NOT(ISERROR(SEARCH("Not Yet Due",G72)))</formula>
    </cfRule>
    <cfRule type="containsText" dxfId="526" priority="518" operator="containsText" text="Deferred">
      <formula>NOT(ISERROR(SEARCH("Deferred",G72)))</formula>
    </cfRule>
    <cfRule type="containsText" dxfId="525" priority="519" operator="containsText" text="Deleted">
      <formula>NOT(ISERROR(SEARCH("Deleted",G72)))</formula>
    </cfRule>
    <cfRule type="containsText" dxfId="524" priority="520" operator="containsText" text="In Danger of Falling Behind Target">
      <formula>NOT(ISERROR(SEARCH("In Danger of Falling Behind Target",G72)))</formula>
    </cfRule>
    <cfRule type="containsText" dxfId="523" priority="521" operator="containsText" text="Not yet due">
      <formula>NOT(ISERROR(SEARCH("Not yet due",G72)))</formula>
    </cfRule>
    <cfRule type="containsText" dxfId="522" priority="522" operator="containsText" text="Completed Behind Schedule">
      <formula>NOT(ISERROR(SEARCH("Completed Behind Schedule",G72)))</formula>
    </cfRule>
    <cfRule type="containsText" dxfId="521" priority="523" operator="containsText" text="Off Target">
      <formula>NOT(ISERROR(SEARCH("Off Target",G72)))</formula>
    </cfRule>
    <cfRule type="containsText" dxfId="520" priority="524" operator="containsText" text="In Danger of Falling Behind Target">
      <formula>NOT(ISERROR(SEARCH("In Danger of Falling Behind Target",G72)))</formula>
    </cfRule>
    <cfRule type="containsText" dxfId="519" priority="525" operator="containsText" text="On Track to be Achieved">
      <formula>NOT(ISERROR(SEARCH("On Track to be Achieved",G72)))</formula>
    </cfRule>
    <cfRule type="containsText" dxfId="518" priority="526" operator="containsText" text="Fully Achieved">
      <formula>NOT(ISERROR(SEARCH("Fully Achieved",G72)))</formula>
    </cfRule>
    <cfRule type="containsText" dxfId="517" priority="527" operator="containsText" text="Update not Provided">
      <formula>NOT(ISERROR(SEARCH("Update not Provided",G72)))</formula>
    </cfRule>
    <cfRule type="containsText" dxfId="516" priority="528" operator="containsText" text="Not yet due">
      <formula>NOT(ISERROR(SEARCH("Not yet due",G72)))</formula>
    </cfRule>
    <cfRule type="containsText" dxfId="515" priority="529" operator="containsText" text="Completed Behind Schedule">
      <formula>NOT(ISERROR(SEARCH("Completed Behind Schedule",G72)))</formula>
    </cfRule>
    <cfRule type="containsText" dxfId="514" priority="530" operator="containsText" text="Off Target">
      <formula>NOT(ISERROR(SEARCH("Off Target",G72)))</formula>
    </cfRule>
    <cfRule type="containsText" dxfId="513" priority="531" operator="containsText" text="In Danger of Falling Behind Target">
      <formula>NOT(ISERROR(SEARCH("In Danger of Falling Behind Target",G72)))</formula>
    </cfRule>
    <cfRule type="containsText" dxfId="512" priority="532" operator="containsText" text="On Track to be Achieved">
      <formula>NOT(ISERROR(SEARCH("On Track to be Achieved",G72)))</formula>
    </cfRule>
    <cfRule type="containsText" dxfId="511" priority="533" operator="containsText" text="Fully Achieved">
      <formula>NOT(ISERROR(SEARCH("Fully Achieved",G72)))</formula>
    </cfRule>
    <cfRule type="containsText" dxfId="510" priority="534" operator="containsText" text="Fully Achieved">
      <formula>NOT(ISERROR(SEARCH("Fully Achieved",G72)))</formula>
    </cfRule>
    <cfRule type="containsText" dxfId="509" priority="535" operator="containsText" text="Fully Achieved">
      <formula>NOT(ISERROR(SEARCH("Fully Achieved",G72)))</formula>
    </cfRule>
    <cfRule type="containsText" dxfId="508" priority="536" operator="containsText" text="Deferred">
      <formula>NOT(ISERROR(SEARCH("Deferred",G72)))</formula>
    </cfRule>
    <cfRule type="containsText" dxfId="507" priority="537" operator="containsText" text="Deleted">
      <formula>NOT(ISERROR(SEARCH("Deleted",G72)))</formula>
    </cfRule>
    <cfRule type="containsText" dxfId="506" priority="538" operator="containsText" text="In Danger of Falling Behind Target">
      <formula>NOT(ISERROR(SEARCH("In Danger of Falling Behind Target",G72)))</formula>
    </cfRule>
    <cfRule type="containsText" dxfId="505" priority="539" operator="containsText" text="Not yet due">
      <formula>NOT(ISERROR(SEARCH("Not yet due",G72)))</formula>
    </cfRule>
    <cfRule type="containsText" dxfId="504" priority="540" operator="containsText" text="Update not Provided">
      <formula>NOT(ISERROR(SEARCH("Update not Provided",G72)))</formula>
    </cfRule>
  </conditionalFormatting>
  <conditionalFormatting sqref="G74:G75">
    <cfRule type="containsText" dxfId="503" priority="469" operator="containsText" text="On track to be achieved">
      <formula>NOT(ISERROR(SEARCH("On track to be achieved",G74)))</formula>
    </cfRule>
    <cfRule type="containsText" dxfId="502" priority="470" operator="containsText" text="Deferred">
      <formula>NOT(ISERROR(SEARCH("Deferred",G74)))</formula>
    </cfRule>
    <cfRule type="containsText" dxfId="501" priority="471" operator="containsText" text="Deleted">
      <formula>NOT(ISERROR(SEARCH("Deleted",G74)))</formula>
    </cfRule>
    <cfRule type="containsText" dxfId="500" priority="472" operator="containsText" text="In Danger of Falling Behind Target">
      <formula>NOT(ISERROR(SEARCH("In Danger of Falling Behind Target",G74)))</formula>
    </cfRule>
    <cfRule type="containsText" dxfId="499" priority="473" operator="containsText" text="Not yet due">
      <formula>NOT(ISERROR(SEARCH("Not yet due",G74)))</formula>
    </cfRule>
    <cfRule type="containsText" dxfId="498" priority="474" operator="containsText" text="Update not Provided">
      <formula>NOT(ISERROR(SEARCH("Update not Provided",G74)))</formula>
    </cfRule>
    <cfRule type="containsText" dxfId="497" priority="475" operator="containsText" text="Not yet due">
      <formula>NOT(ISERROR(SEARCH("Not yet due",G74)))</formula>
    </cfRule>
    <cfRule type="containsText" dxfId="496" priority="476" operator="containsText" text="Completed Behind Schedule">
      <formula>NOT(ISERROR(SEARCH("Completed Behind Schedule",G74)))</formula>
    </cfRule>
    <cfRule type="containsText" dxfId="495" priority="477" operator="containsText" text="Off Target">
      <formula>NOT(ISERROR(SEARCH("Off Target",G74)))</formula>
    </cfRule>
    <cfRule type="containsText" dxfId="494" priority="478" operator="containsText" text="On Track to be Achieved">
      <formula>NOT(ISERROR(SEARCH("On Track to be Achieved",G74)))</formula>
    </cfRule>
    <cfRule type="containsText" dxfId="493" priority="479" operator="containsText" text="Fully Achieved">
      <formula>NOT(ISERROR(SEARCH("Fully Achieved",G74)))</formula>
    </cfRule>
    <cfRule type="containsText" dxfId="492" priority="480" operator="containsText" text="Not yet due">
      <formula>NOT(ISERROR(SEARCH("Not yet due",G74)))</formula>
    </cfRule>
    <cfRule type="containsText" dxfId="491" priority="481" operator="containsText" text="Not Yet Due">
      <formula>NOT(ISERROR(SEARCH("Not Yet Due",G74)))</formula>
    </cfRule>
    <cfRule type="containsText" dxfId="490" priority="482" operator="containsText" text="Deferred">
      <formula>NOT(ISERROR(SEARCH("Deferred",G74)))</formula>
    </cfRule>
    <cfRule type="containsText" dxfId="489" priority="483" operator="containsText" text="Deleted">
      <formula>NOT(ISERROR(SEARCH("Deleted",G74)))</formula>
    </cfRule>
    <cfRule type="containsText" dxfId="488" priority="484" operator="containsText" text="In Danger of Falling Behind Target">
      <formula>NOT(ISERROR(SEARCH("In Danger of Falling Behind Target",G74)))</formula>
    </cfRule>
    <cfRule type="containsText" dxfId="487" priority="485" operator="containsText" text="Not yet due">
      <formula>NOT(ISERROR(SEARCH("Not yet due",G74)))</formula>
    </cfRule>
    <cfRule type="containsText" dxfId="486" priority="486" operator="containsText" text="Completed Behind Schedule">
      <formula>NOT(ISERROR(SEARCH("Completed Behind Schedule",G74)))</formula>
    </cfRule>
    <cfRule type="containsText" dxfId="485" priority="487" operator="containsText" text="Off Target">
      <formula>NOT(ISERROR(SEARCH("Off Target",G74)))</formula>
    </cfRule>
    <cfRule type="containsText" dxfId="484" priority="488" operator="containsText" text="In Danger of Falling Behind Target">
      <formula>NOT(ISERROR(SEARCH("In Danger of Falling Behind Target",G74)))</formula>
    </cfRule>
    <cfRule type="containsText" dxfId="483" priority="489" operator="containsText" text="On Track to be Achieved">
      <formula>NOT(ISERROR(SEARCH("On Track to be Achieved",G74)))</formula>
    </cfRule>
    <cfRule type="containsText" dxfId="482" priority="490" operator="containsText" text="Fully Achieved">
      <formula>NOT(ISERROR(SEARCH("Fully Achieved",G74)))</formula>
    </cfRule>
    <cfRule type="containsText" dxfId="481" priority="491" operator="containsText" text="Update not Provided">
      <formula>NOT(ISERROR(SEARCH("Update not Provided",G74)))</formula>
    </cfRule>
    <cfRule type="containsText" dxfId="480" priority="492" operator="containsText" text="Not yet due">
      <formula>NOT(ISERROR(SEARCH("Not yet due",G74)))</formula>
    </cfRule>
    <cfRule type="containsText" dxfId="479" priority="493" operator="containsText" text="Completed Behind Schedule">
      <formula>NOT(ISERROR(SEARCH("Completed Behind Schedule",G74)))</formula>
    </cfRule>
    <cfRule type="containsText" dxfId="478" priority="494" operator="containsText" text="Off Target">
      <formula>NOT(ISERROR(SEARCH("Off Target",G74)))</formula>
    </cfRule>
    <cfRule type="containsText" dxfId="477" priority="495" operator="containsText" text="In Danger of Falling Behind Target">
      <formula>NOT(ISERROR(SEARCH("In Danger of Falling Behind Target",G74)))</formula>
    </cfRule>
    <cfRule type="containsText" dxfId="476" priority="496" operator="containsText" text="On Track to be Achieved">
      <formula>NOT(ISERROR(SEARCH("On Track to be Achieved",G74)))</formula>
    </cfRule>
    <cfRule type="containsText" dxfId="475" priority="497" operator="containsText" text="Fully Achieved">
      <formula>NOT(ISERROR(SEARCH("Fully Achieved",G74)))</formula>
    </cfRule>
    <cfRule type="containsText" dxfId="474" priority="498" operator="containsText" text="Fully Achieved">
      <formula>NOT(ISERROR(SEARCH("Fully Achieved",G74)))</formula>
    </cfRule>
    <cfRule type="containsText" dxfId="473" priority="499" operator="containsText" text="Fully Achieved">
      <formula>NOT(ISERROR(SEARCH("Fully Achieved",G74)))</formula>
    </cfRule>
    <cfRule type="containsText" dxfId="472" priority="500" operator="containsText" text="Deferred">
      <formula>NOT(ISERROR(SEARCH("Deferred",G74)))</formula>
    </cfRule>
    <cfRule type="containsText" dxfId="471" priority="501" operator="containsText" text="Deleted">
      <formula>NOT(ISERROR(SEARCH("Deleted",G74)))</formula>
    </cfRule>
    <cfRule type="containsText" dxfId="470" priority="502" operator="containsText" text="In Danger of Falling Behind Target">
      <formula>NOT(ISERROR(SEARCH("In Danger of Falling Behind Target",G74)))</formula>
    </cfRule>
    <cfRule type="containsText" dxfId="469" priority="503" operator="containsText" text="Not yet due">
      <formula>NOT(ISERROR(SEARCH("Not yet due",G74)))</formula>
    </cfRule>
    <cfRule type="containsText" dxfId="468" priority="504" operator="containsText" text="Update not Provided">
      <formula>NOT(ISERROR(SEARCH("Update not Provided",G74)))</formula>
    </cfRule>
  </conditionalFormatting>
  <conditionalFormatting sqref="G76">
    <cfRule type="containsText" dxfId="467" priority="433" operator="containsText" text="On track to be achieved">
      <formula>NOT(ISERROR(SEARCH("On track to be achieved",G76)))</formula>
    </cfRule>
    <cfRule type="containsText" dxfId="466" priority="434" operator="containsText" text="Deferred">
      <formula>NOT(ISERROR(SEARCH("Deferred",G76)))</formula>
    </cfRule>
    <cfRule type="containsText" dxfId="465" priority="435" operator="containsText" text="Deleted">
      <formula>NOT(ISERROR(SEARCH("Deleted",G76)))</formula>
    </cfRule>
    <cfRule type="containsText" dxfId="464" priority="436" operator="containsText" text="In Danger of Falling Behind Target">
      <formula>NOT(ISERROR(SEARCH("In Danger of Falling Behind Target",G76)))</formula>
    </cfRule>
    <cfRule type="containsText" dxfId="463" priority="437" operator="containsText" text="Not yet due">
      <formula>NOT(ISERROR(SEARCH("Not yet due",G76)))</formula>
    </cfRule>
    <cfRule type="containsText" dxfId="462" priority="438" operator="containsText" text="Update not Provided">
      <formula>NOT(ISERROR(SEARCH("Update not Provided",G76)))</formula>
    </cfRule>
    <cfRule type="containsText" dxfId="461" priority="439" operator="containsText" text="Not yet due">
      <formula>NOT(ISERROR(SEARCH("Not yet due",G76)))</formula>
    </cfRule>
    <cfRule type="containsText" dxfId="460" priority="440" operator="containsText" text="Completed Behind Schedule">
      <formula>NOT(ISERROR(SEARCH("Completed Behind Schedule",G76)))</formula>
    </cfRule>
    <cfRule type="containsText" dxfId="459" priority="441" operator="containsText" text="Off Target">
      <formula>NOT(ISERROR(SEARCH("Off Target",G76)))</formula>
    </cfRule>
    <cfRule type="containsText" dxfId="458" priority="442" operator="containsText" text="On Track to be Achieved">
      <formula>NOT(ISERROR(SEARCH("On Track to be Achieved",G76)))</formula>
    </cfRule>
    <cfRule type="containsText" dxfId="457" priority="443" operator="containsText" text="Fully Achieved">
      <formula>NOT(ISERROR(SEARCH("Fully Achieved",G76)))</formula>
    </cfRule>
    <cfRule type="containsText" dxfId="456" priority="444" operator="containsText" text="Not yet due">
      <formula>NOT(ISERROR(SEARCH("Not yet due",G76)))</formula>
    </cfRule>
    <cfRule type="containsText" dxfId="455" priority="445" operator="containsText" text="Not Yet Due">
      <formula>NOT(ISERROR(SEARCH("Not Yet Due",G76)))</formula>
    </cfRule>
    <cfRule type="containsText" dxfId="454" priority="446" operator="containsText" text="Deferred">
      <formula>NOT(ISERROR(SEARCH("Deferred",G76)))</formula>
    </cfRule>
    <cfRule type="containsText" dxfId="453" priority="447" operator="containsText" text="Deleted">
      <formula>NOT(ISERROR(SEARCH("Deleted",G76)))</formula>
    </cfRule>
    <cfRule type="containsText" dxfId="452" priority="448" operator="containsText" text="In Danger of Falling Behind Target">
      <formula>NOT(ISERROR(SEARCH("In Danger of Falling Behind Target",G76)))</formula>
    </cfRule>
    <cfRule type="containsText" dxfId="451" priority="449" operator="containsText" text="Not yet due">
      <formula>NOT(ISERROR(SEARCH("Not yet due",G76)))</formula>
    </cfRule>
    <cfRule type="containsText" dxfId="450" priority="450" operator="containsText" text="Completed Behind Schedule">
      <formula>NOT(ISERROR(SEARCH("Completed Behind Schedule",G76)))</formula>
    </cfRule>
    <cfRule type="containsText" dxfId="449" priority="451" operator="containsText" text="Off Target">
      <formula>NOT(ISERROR(SEARCH("Off Target",G76)))</formula>
    </cfRule>
    <cfRule type="containsText" dxfId="448" priority="452" operator="containsText" text="In Danger of Falling Behind Target">
      <formula>NOT(ISERROR(SEARCH("In Danger of Falling Behind Target",G76)))</formula>
    </cfRule>
    <cfRule type="containsText" dxfId="447" priority="453" operator="containsText" text="On Track to be Achieved">
      <formula>NOT(ISERROR(SEARCH("On Track to be Achieved",G76)))</formula>
    </cfRule>
    <cfRule type="containsText" dxfId="446" priority="454" operator="containsText" text="Fully Achieved">
      <formula>NOT(ISERROR(SEARCH("Fully Achieved",G76)))</formula>
    </cfRule>
    <cfRule type="containsText" dxfId="445" priority="455" operator="containsText" text="Update not Provided">
      <formula>NOT(ISERROR(SEARCH("Update not Provided",G76)))</formula>
    </cfRule>
    <cfRule type="containsText" dxfId="444" priority="456" operator="containsText" text="Not yet due">
      <formula>NOT(ISERROR(SEARCH("Not yet due",G76)))</formula>
    </cfRule>
    <cfRule type="containsText" dxfId="443" priority="457" operator="containsText" text="Completed Behind Schedule">
      <formula>NOT(ISERROR(SEARCH("Completed Behind Schedule",G76)))</formula>
    </cfRule>
    <cfRule type="containsText" dxfId="442" priority="458" operator="containsText" text="Off Target">
      <formula>NOT(ISERROR(SEARCH("Off Target",G76)))</formula>
    </cfRule>
    <cfRule type="containsText" dxfId="441" priority="459" operator="containsText" text="In Danger of Falling Behind Target">
      <formula>NOT(ISERROR(SEARCH("In Danger of Falling Behind Target",G76)))</formula>
    </cfRule>
    <cfRule type="containsText" dxfId="440" priority="460" operator="containsText" text="On Track to be Achieved">
      <formula>NOT(ISERROR(SEARCH("On Track to be Achieved",G76)))</formula>
    </cfRule>
    <cfRule type="containsText" dxfId="439" priority="461" operator="containsText" text="Fully Achieved">
      <formula>NOT(ISERROR(SEARCH("Fully Achieved",G76)))</formula>
    </cfRule>
    <cfRule type="containsText" dxfId="438" priority="462" operator="containsText" text="Fully Achieved">
      <formula>NOT(ISERROR(SEARCH("Fully Achieved",G76)))</formula>
    </cfRule>
    <cfRule type="containsText" dxfId="437" priority="463" operator="containsText" text="Fully Achieved">
      <formula>NOT(ISERROR(SEARCH("Fully Achieved",G76)))</formula>
    </cfRule>
    <cfRule type="containsText" dxfId="436" priority="464" operator="containsText" text="Deferred">
      <formula>NOT(ISERROR(SEARCH("Deferred",G76)))</formula>
    </cfRule>
    <cfRule type="containsText" dxfId="435" priority="465" operator="containsText" text="Deleted">
      <formula>NOT(ISERROR(SEARCH("Deleted",G76)))</formula>
    </cfRule>
    <cfRule type="containsText" dxfId="434" priority="466" operator="containsText" text="In Danger of Falling Behind Target">
      <formula>NOT(ISERROR(SEARCH("In Danger of Falling Behind Target",G76)))</formula>
    </cfRule>
    <cfRule type="containsText" dxfId="433" priority="467" operator="containsText" text="Not yet due">
      <formula>NOT(ISERROR(SEARCH("Not yet due",G76)))</formula>
    </cfRule>
    <cfRule type="containsText" dxfId="432" priority="468" operator="containsText" text="Update not Provided">
      <formula>NOT(ISERROR(SEARCH("Update not Provided",G76)))</formula>
    </cfRule>
  </conditionalFormatting>
  <conditionalFormatting sqref="G76">
    <cfRule type="containsText" dxfId="431" priority="397" operator="containsText" text="On track to be achieved">
      <formula>NOT(ISERROR(SEARCH("On track to be achieved",G76)))</formula>
    </cfRule>
    <cfRule type="containsText" dxfId="430" priority="398" operator="containsText" text="Deferred">
      <formula>NOT(ISERROR(SEARCH("Deferred",G76)))</formula>
    </cfRule>
    <cfRule type="containsText" dxfId="429" priority="399" operator="containsText" text="Deleted">
      <formula>NOT(ISERROR(SEARCH("Deleted",G76)))</formula>
    </cfRule>
    <cfRule type="containsText" dxfId="428" priority="400" operator="containsText" text="In Danger of Falling Behind Target">
      <formula>NOT(ISERROR(SEARCH("In Danger of Falling Behind Target",G76)))</formula>
    </cfRule>
    <cfRule type="containsText" dxfId="427" priority="401" operator="containsText" text="Not yet due">
      <formula>NOT(ISERROR(SEARCH("Not yet due",G76)))</formula>
    </cfRule>
    <cfRule type="containsText" dxfId="426" priority="402" operator="containsText" text="Update not Provided">
      <formula>NOT(ISERROR(SEARCH("Update not Provided",G76)))</formula>
    </cfRule>
    <cfRule type="containsText" dxfId="425" priority="403" operator="containsText" text="Not yet due">
      <formula>NOT(ISERROR(SEARCH("Not yet due",G76)))</formula>
    </cfRule>
    <cfRule type="containsText" dxfId="424" priority="404" operator="containsText" text="Completed Behind Schedule">
      <formula>NOT(ISERROR(SEARCH("Completed Behind Schedule",G76)))</formula>
    </cfRule>
    <cfRule type="containsText" dxfId="423" priority="405" operator="containsText" text="Off Target">
      <formula>NOT(ISERROR(SEARCH("Off Target",G76)))</formula>
    </cfRule>
    <cfRule type="containsText" dxfId="422" priority="406" operator="containsText" text="On Track to be Achieved">
      <formula>NOT(ISERROR(SEARCH("On Track to be Achieved",G76)))</formula>
    </cfRule>
    <cfRule type="containsText" dxfId="421" priority="407" operator="containsText" text="Fully Achieved">
      <formula>NOT(ISERROR(SEARCH("Fully Achieved",G76)))</formula>
    </cfRule>
    <cfRule type="containsText" dxfId="420" priority="408" operator="containsText" text="Not yet due">
      <formula>NOT(ISERROR(SEARCH("Not yet due",G76)))</formula>
    </cfRule>
    <cfRule type="containsText" dxfId="419" priority="409" operator="containsText" text="Not Yet Due">
      <formula>NOT(ISERROR(SEARCH("Not Yet Due",G76)))</formula>
    </cfRule>
    <cfRule type="containsText" dxfId="418" priority="410" operator="containsText" text="Deferred">
      <formula>NOT(ISERROR(SEARCH("Deferred",G76)))</formula>
    </cfRule>
    <cfRule type="containsText" dxfId="417" priority="411" operator="containsText" text="Deleted">
      <formula>NOT(ISERROR(SEARCH("Deleted",G76)))</formula>
    </cfRule>
    <cfRule type="containsText" dxfId="416" priority="412" operator="containsText" text="In Danger of Falling Behind Target">
      <formula>NOT(ISERROR(SEARCH("In Danger of Falling Behind Target",G76)))</formula>
    </cfRule>
    <cfRule type="containsText" dxfId="415" priority="413" operator="containsText" text="Not yet due">
      <formula>NOT(ISERROR(SEARCH("Not yet due",G76)))</formula>
    </cfRule>
    <cfRule type="containsText" dxfId="414" priority="414" operator="containsText" text="Completed Behind Schedule">
      <formula>NOT(ISERROR(SEARCH("Completed Behind Schedule",G76)))</formula>
    </cfRule>
    <cfRule type="containsText" dxfId="413" priority="415" operator="containsText" text="Off Target">
      <formula>NOT(ISERROR(SEARCH("Off Target",G76)))</formula>
    </cfRule>
    <cfRule type="containsText" dxfId="412" priority="416" operator="containsText" text="In Danger of Falling Behind Target">
      <formula>NOT(ISERROR(SEARCH("In Danger of Falling Behind Target",G76)))</formula>
    </cfRule>
    <cfRule type="containsText" dxfId="411" priority="417" operator="containsText" text="On Track to be Achieved">
      <formula>NOT(ISERROR(SEARCH("On Track to be Achieved",G76)))</formula>
    </cfRule>
    <cfRule type="containsText" dxfId="410" priority="418" operator="containsText" text="Fully Achieved">
      <formula>NOT(ISERROR(SEARCH("Fully Achieved",G76)))</formula>
    </cfRule>
    <cfRule type="containsText" dxfId="409" priority="419" operator="containsText" text="Update not Provided">
      <formula>NOT(ISERROR(SEARCH("Update not Provided",G76)))</formula>
    </cfRule>
    <cfRule type="containsText" dxfId="408" priority="420" operator="containsText" text="Not yet due">
      <formula>NOT(ISERROR(SEARCH("Not yet due",G76)))</formula>
    </cfRule>
    <cfRule type="containsText" dxfId="407" priority="421" operator="containsText" text="Completed Behind Schedule">
      <formula>NOT(ISERROR(SEARCH("Completed Behind Schedule",G76)))</formula>
    </cfRule>
    <cfRule type="containsText" dxfId="406" priority="422" operator="containsText" text="Off Target">
      <formula>NOT(ISERROR(SEARCH("Off Target",G76)))</formula>
    </cfRule>
    <cfRule type="containsText" dxfId="405" priority="423" operator="containsText" text="In Danger of Falling Behind Target">
      <formula>NOT(ISERROR(SEARCH("In Danger of Falling Behind Target",G76)))</formula>
    </cfRule>
    <cfRule type="containsText" dxfId="404" priority="424" operator="containsText" text="On Track to be Achieved">
      <formula>NOT(ISERROR(SEARCH("On Track to be Achieved",G76)))</formula>
    </cfRule>
    <cfRule type="containsText" dxfId="403" priority="425" operator="containsText" text="Fully Achieved">
      <formula>NOT(ISERROR(SEARCH("Fully Achieved",G76)))</formula>
    </cfRule>
    <cfRule type="containsText" dxfId="402" priority="426" operator="containsText" text="Fully Achieved">
      <formula>NOT(ISERROR(SEARCH("Fully Achieved",G76)))</formula>
    </cfRule>
    <cfRule type="containsText" dxfId="401" priority="427" operator="containsText" text="Fully Achieved">
      <formula>NOT(ISERROR(SEARCH("Fully Achieved",G76)))</formula>
    </cfRule>
    <cfRule type="containsText" dxfId="400" priority="428" operator="containsText" text="Deferred">
      <formula>NOT(ISERROR(SEARCH("Deferred",G76)))</formula>
    </cfRule>
    <cfRule type="containsText" dxfId="399" priority="429" operator="containsText" text="Deleted">
      <formula>NOT(ISERROR(SEARCH("Deleted",G76)))</formula>
    </cfRule>
    <cfRule type="containsText" dxfId="398" priority="430" operator="containsText" text="In Danger of Falling Behind Target">
      <formula>NOT(ISERROR(SEARCH("In Danger of Falling Behind Target",G76)))</formula>
    </cfRule>
    <cfRule type="containsText" dxfId="397" priority="431" operator="containsText" text="Not yet due">
      <formula>NOT(ISERROR(SEARCH("Not yet due",G76)))</formula>
    </cfRule>
    <cfRule type="containsText" dxfId="396" priority="432" operator="containsText" text="Update not Provided">
      <formula>NOT(ISERROR(SEARCH("Update not Provided",G76)))</formula>
    </cfRule>
  </conditionalFormatting>
  <conditionalFormatting sqref="G77:G80">
    <cfRule type="containsText" dxfId="395" priority="361" operator="containsText" text="On track to be achieved">
      <formula>NOT(ISERROR(SEARCH("On track to be achieved",G77)))</formula>
    </cfRule>
    <cfRule type="containsText" dxfId="394" priority="362" operator="containsText" text="Deferred">
      <formula>NOT(ISERROR(SEARCH("Deferred",G77)))</formula>
    </cfRule>
    <cfRule type="containsText" dxfId="393" priority="363" operator="containsText" text="Deleted">
      <formula>NOT(ISERROR(SEARCH("Deleted",G77)))</formula>
    </cfRule>
    <cfRule type="containsText" dxfId="392" priority="364" operator="containsText" text="In Danger of Falling Behind Target">
      <formula>NOT(ISERROR(SEARCH("In Danger of Falling Behind Target",G77)))</formula>
    </cfRule>
    <cfRule type="containsText" dxfId="391" priority="365" operator="containsText" text="Not yet due">
      <formula>NOT(ISERROR(SEARCH("Not yet due",G77)))</formula>
    </cfRule>
    <cfRule type="containsText" dxfId="390" priority="366" operator="containsText" text="Update not Provided">
      <formula>NOT(ISERROR(SEARCH("Update not Provided",G77)))</formula>
    </cfRule>
    <cfRule type="containsText" dxfId="389" priority="367" operator="containsText" text="Not yet due">
      <formula>NOT(ISERROR(SEARCH("Not yet due",G77)))</formula>
    </cfRule>
    <cfRule type="containsText" dxfId="388" priority="368" operator="containsText" text="Completed Behind Schedule">
      <formula>NOT(ISERROR(SEARCH("Completed Behind Schedule",G77)))</formula>
    </cfRule>
    <cfRule type="containsText" dxfId="387" priority="369" operator="containsText" text="Off Target">
      <formula>NOT(ISERROR(SEARCH("Off Target",G77)))</formula>
    </cfRule>
    <cfRule type="containsText" dxfId="386" priority="370" operator="containsText" text="On Track to be Achieved">
      <formula>NOT(ISERROR(SEARCH("On Track to be Achieved",G77)))</formula>
    </cfRule>
    <cfRule type="containsText" dxfId="385" priority="371" operator="containsText" text="Fully Achieved">
      <formula>NOT(ISERROR(SEARCH("Fully Achieved",G77)))</formula>
    </cfRule>
    <cfRule type="containsText" dxfId="384" priority="372" operator="containsText" text="Not yet due">
      <formula>NOT(ISERROR(SEARCH("Not yet due",G77)))</formula>
    </cfRule>
    <cfRule type="containsText" dxfId="383" priority="373" operator="containsText" text="Not Yet Due">
      <formula>NOT(ISERROR(SEARCH("Not Yet Due",G77)))</formula>
    </cfRule>
    <cfRule type="containsText" dxfId="382" priority="374" operator="containsText" text="Deferred">
      <formula>NOT(ISERROR(SEARCH("Deferred",G77)))</formula>
    </cfRule>
    <cfRule type="containsText" dxfId="381" priority="375" operator="containsText" text="Deleted">
      <formula>NOT(ISERROR(SEARCH("Deleted",G77)))</formula>
    </cfRule>
    <cfRule type="containsText" dxfId="380" priority="376" operator="containsText" text="In Danger of Falling Behind Target">
      <formula>NOT(ISERROR(SEARCH("In Danger of Falling Behind Target",G77)))</formula>
    </cfRule>
    <cfRule type="containsText" dxfId="379" priority="377" operator="containsText" text="Not yet due">
      <formula>NOT(ISERROR(SEARCH("Not yet due",G77)))</formula>
    </cfRule>
    <cfRule type="containsText" dxfId="378" priority="378" operator="containsText" text="Completed Behind Schedule">
      <formula>NOT(ISERROR(SEARCH("Completed Behind Schedule",G77)))</formula>
    </cfRule>
    <cfRule type="containsText" dxfId="377" priority="379" operator="containsText" text="Off Target">
      <formula>NOT(ISERROR(SEARCH("Off Target",G77)))</formula>
    </cfRule>
    <cfRule type="containsText" dxfId="376" priority="380" operator="containsText" text="In Danger of Falling Behind Target">
      <formula>NOT(ISERROR(SEARCH("In Danger of Falling Behind Target",G77)))</formula>
    </cfRule>
    <cfRule type="containsText" dxfId="375" priority="381" operator="containsText" text="On Track to be Achieved">
      <formula>NOT(ISERROR(SEARCH("On Track to be Achieved",G77)))</formula>
    </cfRule>
    <cfRule type="containsText" dxfId="374" priority="382" operator="containsText" text="Fully Achieved">
      <formula>NOT(ISERROR(SEARCH("Fully Achieved",G77)))</formula>
    </cfRule>
    <cfRule type="containsText" dxfId="373" priority="383" operator="containsText" text="Update not Provided">
      <formula>NOT(ISERROR(SEARCH("Update not Provided",G77)))</formula>
    </cfRule>
    <cfRule type="containsText" dxfId="372" priority="384" operator="containsText" text="Not yet due">
      <formula>NOT(ISERROR(SEARCH("Not yet due",G77)))</formula>
    </cfRule>
    <cfRule type="containsText" dxfId="371" priority="385" operator="containsText" text="Completed Behind Schedule">
      <formula>NOT(ISERROR(SEARCH("Completed Behind Schedule",G77)))</formula>
    </cfRule>
    <cfRule type="containsText" dxfId="370" priority="386" operator="containsText" text="Off Target">
      <formula>NOT(ISERROR(SEARCH("Off Target",G77)))</formula>
    </cfRule>
    <cfRule type="containsText" dxfId="369" priority="387" operator="containsText" text="In Danger of Falling Behind Target">
      <formula>NOT(ISERROR(SEARCH("In Danger of Falling Behind Target",G77)))</formula>
    </cfRule>
    <cfRule type="containsText" dxfId="368" priority="388" operator="containsText" text="On Track to be Achieved">
      <formula>NOT(ISERROR(SEARCH("On Track to be Achieved",G77)))</formula>
    </cfRule>
    <cfRule type="containsText" dxfId="367" priority="389" operator="containsText" text="Fully Achieved">
      <formula>NOT(ISERROR(SEARCH("Fully Achieved",G77)))</formula>
    </cfRule>
    <cfRule type="containsText" dxfId="366" priority="390" operator="containsText" text="Fully Achieved">
      <formula>NOT(ISERROR(SEARCH("Fully Achieved",G77)))</formula>
    </cfRule>
    <cfRule type="containsText" dxfId="365" priority="391" operator="containsText" text="Fully Achieved">
      <formula>NOT(ISERROR(SEARCH("Fully Achieved",G77)))</formula>
    </cfRule>
    <cfRule type="containsText" dxfId="364" priority="392" operator="containsText" text="Deferred">
      <formula>NOT(ISERROR(SEARCH("Deferred",G77)))</formula>
    </cfRule>
    <cfRule type="containsText" dxfId="363" priority="393" operator="containsText" text="Deleted">
      <formula>NOT(ISERROR(SEARCH("Deleted",G77)))</formula>
    </cfRule>
    <cfRule type="containsText" dxfId="362" priority="394" operator="containsText" text="In Danger of Falling Behind Target">
      <formula>NOT(ISERROR(SEARCH("In Danger of Falling Behind Target",G77)))</formula>
    </cfRule>
    <cfRule type="containsText" dxfId="361" priority="395" operator="containsText" text="Not yet due">
      <formula>NOT(ISERROR(SEARCH("Not yet due",G77)))</formula>
    </cfRule>
    <cfRule type="containsText" dxfId="360" priority="396" operator="containsText" text="Update not Provided">
      <formula>NOT(ISERROR(SEARCH("Update not Provided",G77)))</formula>
    </cfRule>
  </conditionalFormatting>
  <conditionalFormatting sqref="G82:G85">
    <cfRule type="containsText" dxfId="359" priority="325" operator="containsText" text="On track to be achieved">
      <formula>NOT(ISERROR(SEARCH("On track to be achieved",G82)))</formula>
    </cfRule>
    <cfRule type="containsText" dxfId="358" priority="326" operator="containsText" text="Deferred">
      <formula>NOT(ISERROR(SEARCH("Deferred",G82)))</formula>
    </cfRule>
    <cfRule type="containsText" dxfId="357" priority="327" operator="containsText" text="Deleted">
      <formula>NOT(ISERROR(SEARCH("Deleted",G82)))</formula>
    </cfRule>
    <cfRule type="containsText" dxfId="356" priority="328" operator="containsText" text="In Danger of Falling Behind Target">
      <formula>NOT(ISERROR(SEARCH("In Danger of Falling Behind Target",G82)))</formula>
    </cfRule>
    <cfRule type="containsText" dxfId="355" priority="329" operator="containsText" text="Not yet due">
      <formula>NOT(ISERROR(SEARCH("Not yet due",G82)))</formula>
    </cfRule>
    <cfRule type="containsText" dxfId="354" priority="330" operator="containsText" text="Update not Provided">
      <formula>NOT(ISERROR(SEARCH("Update not Provided",G82)))</formula>
    </cfRule>
    <cfRule type="containsText" dxfId="353" priority="331" operator="containsText" text="Not yet due">
      <formula>NOT(ISERROR(SEARCH("Not yet due",G82)))</formula>
    </cfRule>
    <cfRule type="containsText" dxfId="352" priority="332" operator="containsText" text="Completed Behind Schedule">
      <formula>NOT(ISERROR(SEARCH("Completed Behind Schedule",G82)))</formula>
    </cfRule>
    <cfRule type="containsText" dxfId="351" priority="333" operator="containsText" text="Off Target">
      <formula>NOT(ISERROR(SEARCH("Off Target",G82)))</formula>
    </cfRule>
    <cfRule type="containsText" dxfId="350" priority="334" operator="containsText" text="On Track to be Achieved">
      <formula>NOT(ISERROR(SEARCH("On Track to be Achieved",G82)))</formula>
    </cfRule>
    <cfRule type="containsText" dxfId="349" priority="335" operator="containsText" text="Fully Achieved">
      <formula>NOT(ISERROR(SEARCH("Fully Achieved",G82)))</formula>
    </cfRule>
    <cfRule type="containsText" dxfId="348" priority="336" operator="containsText" text="Not yet due">
      <formula>NOT(ISERROR(SEARCH("Not yet due",G82)))</formula>
    </cfRule>
    <cfRule type="containsText" dxfId="347" priority="337" operator="containsText" text="Not Yet Due">
      <formula>NOT(ISERROR(SEARCH("Not Yet Due",G82)))</formula>
    </cfRule>
    <cfRule type="containsText" dxfId="346" priority="338" operator="containsText" text="Deferred">
      <formula>NOT(ISERROR(SEARCH("Deferred",G82)))</formula>
    </cfRule>
    <cfRule type="containsText" dxfId="345" priority="339" operator="containsText" text="Deleted">
      <formula>NOT(ISERROR(SEARCH("Deleted",G82)))</formula>
    </cfRule>
    <cfRule type="containsText" dxfId="344" priority="340" operator="containsText" text="In Danger of Falling Behind Target">
      <formula>NOT(ISERROR(SEARCH("In Danger of Falling Behind Target",G82)))</formula>
    </cfRule>
    <cfRule type="containsText" dxfId="343" priority="341" operator="containsText" text="Not yet due">
      <formula>NOT(ISERROR(SEARCH("Not yet due",G82)))</formula>
    </cfRule>
    <cfRule type="containsText" dxfId="342" priority="342" operator="containsText" text="Completed Behind Schedule">
      <formula>NOT(ISERROR(SEARCH("Completed Behind Schedule",G82)))</formula>
    </cfRule>
    <cfRule type="containsText" dxfId="341" priority="343" operator="containsText" text="Off Target">
      <formula>NOT(ISERROR(SEARCH("Off Target",G82)))</formula>
    </cfRule>
    <cfRule type="containsText" dxfId="340" priority="344" operator="containsText" text="In Danger of Falling Behind Target">
      <formula>NOT(ISERROR(SEARCH("In Danger of Falling Behind Target",G82)))</formula>
    </cfRule>
    <cfRule type="containsText" dxfId="339" priority="345" operator="containsText" text="On Track to be Achieved">
      <formula>NOT(ISERROR(SEARCH("On Track to be Achieved",G82)))</formula>
    </cfRule>
    <cfRule type="containsText" dxfId="338" priority="346" operator="containsText" text="Fully Achieved">
      <formula>NOT(ISERROR(SEARCH("Fully Achieved",G82)))</formula>
    </cfRule>
    <cfRule type="containsText" dxfId="337" priority="347" operator="containsText" text="Update not Provided">
      <formula>NOT(ISERROR(SEARCH("Update not Provided",G82)))</formula>
    </cfRule>
    <cfRule type="containsText" dxfId="336" priority="348" operator="containsText" text="Not yet due">
      <formula>NOT(ISERROR(SEARCH("Not yet due",G82)))</formula>
    </cfRule>
    <cfRule type="containsText" dxfId="335" priority="349" operator="containsText" text="Completed Behind Schedule">
      <formula>NOT(ISERROR(SEARCH("Completed Behind Schedule",G82)))</formula>
    </cfRule>
    <cfRule type="containsText" dxfId="334" priority="350" operator="containsText" text="Off Target">
      <formula>NOT(ISERROR(SEARCH("Off Target",G82)))</formula>
    </cfRule>
    <cfRule type="containsText" dxfId="333" priority="351" operator="containsText" text="In Danger of Falling Behind Target">
      <formula>NOT(ISERROR(SEARCH("In Danger of Falling Behind Target",G82)))</formula>
    </cfRule>
    <cfRule type="containsText" dxfId="332" priority="352" operator="containsText" text="On Track to be Achieved">
      <formula>NOT(ISERROR(SEARCH("On Track to be Achieved",G82)))</formula>
    </cfRule>
    <cfRule type="containsText" dxfId="331" priority="353" operator="containsText" text="Fully Achieved">
      <formula>NOT(ISERROR(SEARCH("Fully Achieved",G82)))</formula>
    </cfRule>
    <cfRule type="containsText" dxfId="330" priority="354" operator="containsText" text="Fully Achieved">
      <formula>NOT(ISERROR(SEARCH("Fully Achieved",G82)))</formula>
    </cfRule>
    <cfRule type="containsText" dxfId="329" priority="355" operator="containsText" text="Fully Achieved">
      <formula>NOT(ISERROR(SEARCH("Fully Achieved",G82)))</formula>
    </cfRule>
    <cfRule type="containsText" dxfId="328" priority="356" operator="containsText" text="Deferred">
      <formula>NOT(ISERROR(SEARCH("Deferred",G82)))</formula>
    </cfRule>
    <cfRule type="containsText" dxfId="327" priority="357" operator="containsText" text="Deleted">
      <formula>NOT(ISERROR(SEARCH("Deleted",G82)))</formula>
    </cfRule>
    <cfRule type="containsText" dxfId="326" priority="358" operator="containsText" text="In Danger of Falling Behind Target">
      <formula>NOT(ISERROR(SEARCH("In Danger of Falling Behind Target",G82)))</formula>
    </cfRule>
    <cfRule type="containsText" dxfId="325" priority="359" operator="containsText" text="Not yet due">
      <formula>NOT(ISERROR(SEARCH("Not yet due",G82)))</formula>
    </cfRule>
    <cfRule type="containsText" dxfId="324" priority="360" operator="containsText" text="Update not Provided">
      <formula>NOT(ISERROR(SEARCH("Update not Provided",G82)))</formula>
    </cfRule>
  </conditionalFormatting>
  <conditionalFormatting sqref="G87:G88">
    <cfRule type="containsText" dxfId="323" priority="289" operator="containsText" text="On track to be achieved">
      <formula>NOT(ISERROR(SEARCH("On track to be achieved",G87)))</formula>
    </cfRule>
    <cfRule type="containsText" dxfId="322" priority="290" operator="containsText" text="Deferred">
      <formula>NOT(ISERROR(SEARCH("Deferred",G87)))</formula>
    </cfRule>
    <cfRule type="containsText" dxfId="321" priority="291" operator="containsText" text="Deleted">
      <formula>NOT(ISERROR(SEARCH("Deleted",G87)))</formula>
    </cfRule>
    <cfRule type="containsText" dxfId="320" priority="292" operator="containsText" text="In Danger of Falling Behind Target">
      <formula>NOT(ISERROR(SEARCH("In Danger of Falling Behind Target",G87)))</formula>
    </cfRule>
    <cfRule type="containsText" dxfId="319" priority="293" operator="containsText" text="Not yet due">
      <formula>NOT(ISERROR(SEARCH("Not yet due",G87)))</formula>
    </cfRule>
    <cfRule type="containsText" dxfId="318" priority="294" operator="containsText" text="Update not Provided">
      <formula>NOT(ISERROR(SEARCH("Update not Provided",G87)))</formula>
    </cfRule>
    <cfRule type="containsText" dxfId="317" priority="295" operator="containsText" text="Not yet due">
      <formula>NOT(ISERROR(SEARCH("Not yet due",G87)))</formula>
    </cfRule>
    <cfRule type="containsText" dxfId="316" priority="296" operator="containsText" text="Completed Behind Schedule">
      <formula>NOT(ISERROR(SEARCH("Completed Behind Schedule",G87)))</formula>
    </cfRule>
    <cfRule type="containsText" dxfId="315" priority="297" operator="containsText" text="Off Target">
      <formula>NOT(ISERROR(SEARCH("Off Target",G87)))</formula>
    </cfRule>
    <cfRule type="containsText" dxfId="314" priority="298" operator="containsText" text="On Track to be Achieved">
      <formula>NOT(ISERROR(SEARCH("On Track to be Achieved",G87)))</formula>
    </cfRule>
    <cfRule type="containsText" dxfId="313" priority="299" operator="containsText" text="Fully Achieved">
      <formula>NOT(ISERROR(SEARCH("Fully Achieved",G87)))</formula>
    </cfRule>
    <cfRule type="containsText" dxfId="312" priority="300" operator="containsText" text="Not yet due">
      <formula>NOT(ISERROR(SEARCH("Not yet due",G87)))</formula>
    </cfRule>
    <cfRule type="containsText" dxfId="311" priority="301" operator="containsText" text="Not Yet Due">
      <formula>NOT(ISERROR(SEARCH("Not Yet Due",G87)))</formula>
    </cfRule>
    <cfRule type="containsText" dxfId="310" priority="302" operator="containsText" text="Deferred">
      <formula>NOT(ISERROR(SEARCH("Deferred",G87)))</formula>
    </cfRule>
    <cfRule type="containsText" dxfId="309" priority="303" operator="containsText" text="Deleted">
      <formula>NOT(ISERROR(SEARCH("Deleted",G87)))</formula>
    </cfRule>
    <cfRule type="containsText" dxfId="308" priority="304" operator="containsText" text="In Danger of Falling Behind Target">
      <formula>NOT(ISERROR(SEARCH("In Danger of Falling Behind Target",G87)))</formula>
    </cfRule>
    <cfRule type="containsText" dxfId="307" priority="305" operator="containsText" text="Not yet due">
      <formula>NOT(ISERROR(SEARCH("Not yet due",G87)))</formula>
    </cfRule>
    <cfRule type="containsText" dxfId="306" priority="306" operator="containsText" text="Completed Behind Schedule">
      <formula>NOT(ISERROR(SEARCH("Completed Behind Schedule",G87)))</formula>
    </cfRule>
    <cfRule type="containsText" dxfId="305" priority="307" operator="containsText" text="Off Target">
      <formula>NOT(ISERROR(SEARCH("Off Target",G87)))</formula>
    </cfRule>
    <cfRule type="containsText" dxfId="304" priority="308" operator="containsText" text="In Danger of Falling Behind Target">
      <formula>NOT(ISERROR(SEARCH("In Danger of Falling Behind Target",G87)))</formula>
    </cfRule>
    <cfRule type="containsText" dxfId="303" priority="309" operator="containsText" text="On Track to be Achieved">
      <formula>NOT(ISERROR(SEARCH("On Track to be Achieved",G87)))</formula>
    </cfRule>
    <cfRule type="containsText" dxfId="302" priority="310" operator="containsText" text="Fully Achieved">
      <formula>NOT(ISERROR(SEARCH("Fully Achieved",G87)))</formula>
    </cfRule>
    <cfRule type="containsText" dxfId="301" priority="311" operator="containsText" text="Update not Provided">
      <formula>NOT(ISERROR(SEARCH("Update not Provided",G87)))</formula>
    </cfRule>
    <cfRule type="containsText" dxfId="300" priority="312" operator="containsText" text="Not yet due">
      <formula>NOT(ISERROR(SEARCH("Not yet due",G87)))</formula>
    </cfRule>
    <cfRule type="containsText" dxfId="299" priority="313" operator="containsText" text="Completed Behind Schedule">
      <formula>NOT(ISERROR(SEARCH("Completed Behind Schedule",G87)))</formula>
    </cfRule>
    <cfRule type="containsText" dxfId="298" priority="314" operator="containsText" text="Off Target">
      <formula>NOT(ISERROR(SEARCH("Off Target",G87)))</formula>
    </cfRule>
    <cfRule type="containsText" dxfId="297" priority="315" operator="containsText" text="In Danger of Falling Behind Target">
      <formula>NOT(ISERROR(SEARCH("In Danger of Falling Behind Target",G87)))</formula>
    </cfRule>
    <cfRule type="containsText" dxfId="296" priority="316" operator="containsText" text="On Track to be Achieved">
      <formula>NOT(ISERROR(SEARCH("On Track to be Achieved",G87)))</formula>
    </cfRule>
    <cfRule type="containsText" dxfId="295" priority="317" operator="containsText" text="Fully Achieved">
      <formula>NOT(ISERROR(SEARCH("Fully Achieved",G87)))</formula>
    </cfRule>
    <cfRule type="containsText" dxfId="294" priority="318" operator="containsText" text="Fully Achieved">
      <formula>NOT(ISERROR(SEARCH("Fully Achieved",G87)))</formula>
    </cfRule>
    <cfRule type="containsText" dxfId="293" priority="319" operator="containsText" text="Fully Achieved">
      <formula>NOT(ISERROR(SEARCH("Fully Achieved",G87)))</formula>
    </cfRule>
    <cfRule type="containsText" dxfId="292" priority="320" operator="containsText" text="Deferred">
      <formula>NOT(ISERROR(SEARCH("Deferred",G87)))</formula>
    </cfRule>
    <cfRule type="containsText" dxfId="291" priority="321" operator="containsText" text="Deleted">
      <formula>NOT(ISERROR(SEARCH("Deleted",G87)))</formula>
    </cfRule>
    <cfRule type="containsText" dxfId="290" priority="322" operator="containsText" text="In Danger of Falling Behind Target">
      <formula>NOT(ISERROR(SEARCH("In Danger of Falling Behind Target",G87)))</formula>
    </cfRule>
    <cfRule type="containsText" dxfId="289" priority="323" operator="containsText" text="Not yet due">
      <formula>NOT(ISERROR(SEARCH("Not yet due",G87)))</formula>
    </cfRule>
    <cfRule type="containsText" dxfId="288" priority="324" operator="containsText" text="Update not Provided">
      <formula>NOT(ISERROR(SEARCH("Update not Provided",G87)))</formula>
    </cfRule>
  </conditionalFormatting>
  <conditionalFormatting sqref="G89">
    <cfRule type="containsText" dxfId="287" priority="253" operator="containsText" text="On track to be achieved">
      <formula>NOT(ISERROR(SEARCH("On track to be achieved",G89)))</formula>
    </cfRule>
    <cfRule type="containsText" dxfId="286" priority="254" operator="containsText" text="Deferred">
      <formula>NOT(ISERROR(SEARCH("Deferred",G89)))</formula>
    </cfRule>
    <cfRule type="containsText" dxfId="285" priority="255" operator="containsText" text="Deleted">
      <formula>NOT(ISERROR(SEARCH("Deleted",G89)))</formula>
    </cfRule>
    <cfRule type="containsText" dxfId="284" priority="256" operator="containsText" text="In Danger of Falling Behind Target">
      <formula>NOT(ISERROR(SEARCH("In Danger of Falling Behind Target",G89)))</formula>
    </cfRule>
    <cfRule type="containsText" dxfId="283" priority="257" operator="containsText" text="Not yet due">
      <formula>NOT(ISERROR(SEARCH("Not yet due",G89)))</formula>
    </cfRule>
    <cfRule type="containsText" dxfId="282" priority="258" operator="containsText" text="Update not Provided">
      <formula>NOT(ISERROR(SEARCH("Update not Provided",G89)))</formula>
    </cfRule>
    <cfRule type="containsText" dxfId="281" priority="259" operator="containsText" text="Not yet due">
      <formula>NOT(ISERROR(SEARCH("Not yet due",G89)))</formula>
    </cfRule>
    <cfRule type="containsText" dxfId="280" priority="260" operator="containsText" text="Completed Behind Schedule">
      <formula>NOT(ISERROR(SEARCH("Completed Behind Schedule",G89)))</formula>
    </cfRule>
    <cfRule type="containsText" dxfId="279" priority="261" operator="containsText" text="Off Target">
      <formula>NOT(ISERROR(SEARCH("Off Target",G89)))</formula>
    </cfRule>
    <cfRule type="containsText" dxfId="278" priority="262" operator="containsText" text="On Track to be Achieved">
      <formula>NOT(ISERROR(SEARCH("On Track to be Achieved",G89)))</formula>
    </cfRule>
    <cfRule type="containsText" dxfId="277" priority="263" operator="containsText" text="Fully Achieved">
      <formula>NOT(ISERROR(SEARCH("Fully Achieved",G89)))</formula>
    </cfRule>
    <cfRule type="containsText" dxfId="276" priority="264" operator="containsText" text="Not yet due">
      <formula>NOT(ISERROR(SEARCH("Not yet due",G89)))</formula>
    </cfRule>
    <cfRule type="containsText" dxfId="275" priority="265" operator="containsText" text="Not Yet Due">
      <formula>NOT(ISERROR(SEARCH("Not Yet Due",G89)))</formula>
    </cfRule>
    <cfRule type="containsText" dxfId="274" priority="266" operator="containsText" text="Deferred">
      <formula>NOT(ISERROR(SEARCH("Deferred",G89)))</formula>
    </cfRule>
    <cfRule type="containsText" dxfId="273" priority="267" operator="containsText" text="Deleted">
      <formula>NOT(ISERROR(SEARCH("Deleted",G89)))</formula>
    </cfRule>
    <cfRule type="containsText" dxfId="272" priority="268" operator="containsText" text="In Danger of Falling Behind Target">
      <formula>NOT(ISERROR(SEARCH("In Danger of Falling Behind Target",G89)))</formula>
    </cfRule>
    <cfRule type="containsText" dxfId="271" priority="269" operator="containsText" text="Not yet due">
      <formula>NOT(ISERROR(SEARCH("Not yet due",G89)))</formula>
    </cfRule>
    <cfRule type="containsText" dxfId="270" priority="270" operator="containsText" text="Completed Behind Schedule">
      <formula>NOT(ISERROR(SEARCH("Completed Behind Schedule",G89)))</formula>
    </cfRule>
    <cfRule type="containsText" dxfId="269" priority="271" operator="containsText" text="Off Target">
      <formula>NOT(ISERROR(SEARCH("Off Target",G89)))</formula>
    </cfRule>
    <cfRule type="containsText" dxfId="268" priority="272" operator="containsText" text="In Danger of Falling Behind Target">
      <formula>NOT(ISERROR(SEARCH("In Danger of Falling Behind Target",G89)))</formula>
    </cfRule>
    <cfRule type="containsText" dxfId="267" priority="273" operator="containsText" text="On Track to be Achieved">
      <formula>NOT(ISERROR(SEARCH("On Track to be Achieved",G89)))</formula>
    </cfRule>
    <cfRule type="containsText" dxfId="266" priority="274" operator="containsText" text="Fully Achieved">
      <formula>NOT(ISERROR(SEARCH("Fully Achieved",G89)))</formula>
    </cfRule>
    <cfRule type="containsText" dxfId="265" priority="275" operator="containsText" text="Update not Provided">
      <formula>NOT(ISERROR(SEARCH("Update not Provided",G89)))</formula>
    </cfRule>
    <cfRule type="containsText" dxfId="264" priority="276" operator="containsText" text="Not yet due">
      <formula>NOT(ISERROR(SEARCH("Not yet due",G89)))</formula>
    </cfRule>
    <cfRule type="containsText" dxfId="263" priority="277" operator="containsText" text="Completed Behind Schedule">
      <formula>NOT(ISERROR(SEARCH("Completed Behind Schedule",G89)))</formula>
    </cfRule>
    <cfRule type="containsText" dxfId="262" priority="278" operator="containsText" text="Off Target">
      <formula>NOT(ISERROR(SEARCH("Off Target",G89)))</formula>
    </cfRule>
    <cfRule type="containsText" dxfId="261" priority="279" operator="containsText" text="In Danger of Falling Behind Target">
      <formula>NOT(ISERROR(SEARCH("In Danger of Falling Behind Target",G89)))</formula>
    </cfRule>
    <cfRule type="containsText" dxfId="260" priority="280" operator="containsText" text="On Track to be Achieved">
      <formula>NOT(ISERROR(SEARCH("On Track to be Achieved",G89)))</formula>
    </cfRule>
    <cfRule type="containsText" dxfId="259" priority="281" operator="containsText" text="Fully Achieved">
      <formula>NOT(ISERROR(SEARCH("Fully Achieved",G89)))</formula>
    </cfRule>
    <cfRule type="containsText" dxfId="258" priority="282" operator="containsText" text="Fully Achieved">
      <formula>NOT(ISERROR(SEARCH("Fully Achieved",G89)))</formula>
    </cfRule>
    <cfRule type="containsText" dxfId="257" priority="283" operator="containsText" text="Fully Achieved">
      <formula>NOT(ISERROR(SEARCH("Fully Achieved",G89)))</formula>
    </cfRule>
    <cfRule type="containsText" dxfId="256" priority="284" operator="containsText" text="Deferred">
      <formula>NOT(ISERROR(SEARCH("Deferred",G89)))</formula>
    </cfRule>
    <cfRule type="containsText" dxfId="255" priority="285" operator="containsText" text="Deleted">
      <formula>NOT(ISERROR(SEARCH("Deleted",G89)))</formula>
    </cfRule>
    <cfRule type="containsText" dxfId="254" priority="286" operator="containsText" text="In Danger of Falling Behind Target">
      <formula>NOT(ISERROR(SEARCH("In Danger of Falling Behind Target",G89)))</formula>
    </cfRule>
    <cfRule type="containsText" dxfId="253" priority="287" operator="containsText" text="Not yet due">
      <formula>NOT(ISERROR(SEARCH("Not yet due",G89)))</formula>
    </cfRule>
    <cfRule type="containsText" dxfId="252" priority="288" operator="containsText" text="Update not Provided">
      <formula>NOT(ISERROR(SEARCH("Update not Provided",G89)))</formula>
    </cfRule>
  </conditionalFormatting>
  <conditionalFormatting sqref="G89">
    <cfRule type="containsText" dxfId="251" priority="217" operator="containsText" text="On track to be achieved">
      <formula>NOT(ISERROR(SEARCH("On track to be achieved",G89)))</formula>
    </cfRule>
    <cfRule type="containsText" dxfId="250" priority="218" operator="containsText" text="Deferred">
      <formula>NOT(ISERROR(SEARCH("Deferred",G89)))</formula>
    </cfRule>
    <cfRule type="containsText" dxfId="249" priority="219" operator="containsText" text="Deleted">
      <formula>NOT(ISERROR(SEARCH("Deleted",G89)))</formula>
    </cfRule>
    <cfRule type="containsText" dxfId="248" priority="220" operator="containsText" text="In Danger of Falling Behind Target">
      <formula>NOT(ISERROR(SEARCH("In Danger of Falling Behind Target",G89)))</formula>
    </cfRule>
    <cfRule type="containsText" dxfId="247" priority="221" operator="containsText" text="Not yet due">
      <formula>NOT(ISERROR(SEARCH("Not yet due",G89)))</formula>
    </cfRule>
    <cfRule type="containsText" dxfId="246" priority="222" operator="containsText" text="Update not Provided">
      <formula>NOT(ISERROR(SEARCH("Update not Provided",G89)))</formula>
    </cfRule>
    <cfRule type="containsText" dxfId="245" priority="223" operator="containsText" text="Not yet due">
      <formula>NOT(ISERROR(SEARCH("Not yet due",G89)))</formula>
    </cfRule>
    <cfRule type="containsText" dxfId="244" priority="224" operator="containsText" text="Completed Behind Schedule">
      <formula>NOT(ISERROR(SEARCH("Completed Behind Schedule",G89)))</formula>
    </cfRule>
    <cfRule type="containsText" dxfId="243" priority="225" operator="containsText" text="Off Target">
      <formula>NOT(ISERROR(SEARCH("Off Target",G89)))</formula>
    </cfRule>
    <cfRule type="containsText" dxfId="242" priority="226" operator="containsText" text="On Track to be Achieved">
      <formula>NOT(ISERROR(SEARCH("On Track to be Achieved",G89)))</formula>
    </cfRule>
    <cfRule type="containsText" dxfId="241" priority="227" operator="containsText" text="Fully Achieved">
      <formula>NOT(ISERROR(SEARCH("Fully Achieved",G89)))</formula>
    </cfRule>
    <cfRule type="containsText" dxfId="240" priority="228" operator="containsText" text="Not yet due">
      <formula>NOT(ISERROR(SEARCH("Not yet due",G89)))</formula>
    </cfRule>
    <cfRule type="containsText" dxfId="239" priority="229" operator="containsText" text="Not Yet Due">
      <formula>NOT(ISERROR(SEARCH("Not Yet Due",G89)))</formula>
    </cfRule>
    <cfRule type="containsText" dxfId="238" priority="230" operator="containsText" text="Deferred">
      <formula>NOT(ISERROR(SEARCH("Deferred",G89)))</formula>
    </cfRule>
    <cfRule type="containsText" dxfId="237" priority="231" operator="containsText" text="Deleted">
      <formula>NOT(ISERROR(SEARCH("Deleted",G89)))</formula>
    </cfRule>
    <cfRule type="containsText" dxfId="236" priority="232" operator="containsText" text="In Danger of Falling Behind Target">
      <formula>NOT(ISERROR(SEARCH("In Danger of Falling Behind Target",G89)))</formula>
    </cfRule>
    <cfRule type="containsText" dxfId="235" priority="233" operator="containsText" text="Not yet due">
      <formula>NOT(ISERROR(SEARCH("Not yet due",G89)))</formula>
    </cfRule>
    <cfRule type="containsText" dxfId="234" priority="234" operator="containsText" text="Completed Behind Schedule">
      <formula>NOT(ISERROR(SEARCH("Completed Behind Schedule",G89)))</formula>
    </cfRule>
    <cfRule type="containsText" dxfId="233" priority="235" operator="containsText" text="Off Target">
      <formula>NOT(ISERROR(SEARCH("Off Target",G89)))</formula>
    </cfRule>
    <cfRule type="containsText" dxfId="232" priority="236" operator="containsText" text="In Danger of Falling Behind Target">
      <formula>NOT(ISERROR(SEARCH("In Danger of Falling Behind Target",G89)))</formula>
    </cfRule>
    <cfRule type="containsText" dxfId="231" priority="237" operator="containsText" text="On Track to be Achieved">
      <formula>NOT(ISERROR(SEARCH("On Track to be Achieved",G89)))</formula>
    </cfRule>
    <cfRule type="containsText" dxfId="230" priority="238" operator="containsText" text="Fully Achieved">
      <formula>NOT(ISERROR(SEARCH("Fully Achieved",G89)))</formula>
    </cfRule>
    <cfRule type="containsText" dxfId="229" priority="239" operator="containsText" text="Update not Provided">
      <formula>NOT(ISERROR(SEARCH("Update not Provided",G89)))</formula>
    </cfRule>
    <cfRule type="containsText" dxfId="228" priority="240" operator="containsText" text="Not yet due">
      <formula>NOT(ISERROR(SEARCH("Not yet due",G89)))</formula>
    </cfRule>
    <cfRule type="containsText" dxfId="227" priority="241" operator="containsText" text="Completed Behind Schedule">
      <formula>NOT(ISERROR(SEARCH("Completed Behind Schedule",G89)))</formula>
    </cfRule>
    <cfRule type="containsText" dxfId="226" priority="242" operator="containsText" text="Off Target">
      <formula>NOT(ISERROR(SEARCH("Off Target",G89)))</formula>
    </cfRule>
    <cfRule type="containsText" dxfId="225" priority="243" operator="containsText" text="In Danger of Falling Behind Target">
      <formula>NOT(ISERROR(SEARCH("In Danger of Falling Behind Target",G89)))</formula>
    </cfRule>
    <cfRule type="containsText" dxfId="224" priority="244" operator="containsText" text="On Track to be Achieved">
      <formula>NOT(ISERROR(SEARCH("On Track to be Achieved",G89)))</formula>
    </cfRule>
    <cfRule type="containsText" dxfId="223" priority="245" operator="containsText" text="Fully Achieved">
      <formula>NOT(ISERROR(SEARCH("Fully Achieved",G89)))</formula>
    </cfRule>
    <cfRule type="containsText" dxfId="222" priority="246" operator="containsText" text="Fully Achieved">
      <formula>NOT(ISERROR(SEARCH("Fully Achieved",G89)))</formula>
    </cfRule>
    <cfRule type="containsText" dxfId="221" priority="247" operator="containsText" text="Fully Achieved">
      <formula>NOT(ISERROR(SEARCH("Fully Achieved",G89)))</formula>
    </cfRule>
    <cfRule type="containsText" dxfId="220" priority="248" operator="containsText" text="Deferred">
      <formula>NOT(ISERROR(SEARCH("Deferred",G89)))</formula>
    </cfRule>
    <cfRule type="containsText" dxfId="219" priority="249" operator="containsText" text="Deleted">
      <formula>NOT(ISERROR(SEARCH("Deleted",G89)))</formula>
    </cfRule>
    <cfRule type="containsText" dxfId="218" priority="250" operator="containsText" text="In Danger of Falling Behind Target">
      <formula>NOT(ISERROR(SEARCH("In Danger of Falling Behind Target",G89)))</formula>
    </cfRule>
    <cfRule type="containsText" dxfId="217" priority="251" operator="containsText" text="Not yet due">
      <formula>NOT(ISERROR(SEARCH("Not yet due",G89)))</formula>
    </cfRule>
    <cfRule type="containsText" dxfId="216" priority="252" operator="containsText" text="Update not Provided">
      <formula>NOT(ISERROR(SEARCH("Update not Provided",G89)))</formula>
    </cfRule>
  </conditionalFormatting>
  <conditionalFormatting sqref="G90:G100">
    <cfRule type="containsText" dxfId="215" priority="181" operator="containsText" text="On track to be achieved">
      <formula>NOT(ISERROR(SEARCH("On track to be achieved",G90)))</formula>
    </cfRule>
    <cfRule type="containsText" dxfId="214" priority="182" operator="containsText" text="Deferred">
      <formula>NOT(ISERROR(SEARCH("Deferred",G90)))</formula>
    </cfRule>
    <cfRule type="containsText" dxfId="213" priority="183" operator="containsText" text="Deleted">
      <formula>NOT(ISERROR(SEARCH("Deleted",G90)))</formula>
    </cfRule>
    <cfRule type="containsText" dxfId="212" priority="184" operator="containsText" text="In Danger of Falling Behind Target">
      <formula>NOT(ISERROR(SEARCH("In Danger of Falling Behind Target",G90)))</formula>
    </cfRule>
    <cfRule type="containsText" dxfId="211" priority="185" operator="containsText" text="Not yet due">
      <formula>NOT(ISERROR(SEARCH("Not yet due",G90)))</formula>
    </cfRule>
    <cfRule type="containsText" dxfId="210" priority="186" operator="containsText" text="Update not Provided">
      <formula>NOT(ISERROR(SEARCH("Update not Provided",G90)))</formula>
    </cfRule>
    <cfRule type="containsText" dxfId="209" priority="187" operator="containsText" text="Not yet due">
      <formula>NOT(ISERROR(SEARCH("Not yet due",G90)))</formula>
    </cfRule>
    <cfRule type="containsText" dxfId="208" priority="188" operator="containsText" text="Completed Behind Schedule">
      <formula>NOT(ISERROR(SEARCH("Completed Behind Schedule",G90)))</formula>
    </cfRule>
    <cfRule type="containsText" dxfId="207" priority="189" operator="containsText" text="Off Target">
      <formula>NOT(ISERROR(SEARCH("Off Target",G90)))</formula>
    </cfRule>
    <cfRule type="containsText" dxfId="206" priority="190" operator="containsText" text="On Track to be Achieved">
      <formula>NOT(ISERROR(SEARCH("On Track to be Achieved",G90)))</formula>
    </cfRule>
    <cfRule type="containsText" dxfId="205" priority="191" operator="containsText" text="Fully Achieved">
      <formula>NOT(ISERROR(SEARCH("Fully Achieved",G90)))</formula>
    </cfRule>
    <cfRule type="containsText" dxfId="204" priority="192" operator="containsText" text="Not yet due">
      <formula>NOT(ISERROR(SEARCH("Not yet due",G90)))</formula>
    </cfRule>
    <cfRule type="containsText" dxfId="203" priority="193" operator="containsText" text="Not Yet Due">
      <formula>NOT(ISERROR(SEARCH("Not Yet Due",G90)))</formula>
    </cfRule>
    <cfRule type="containsText" dxfId="202" priority="194" operator="containsText" text="Deferred">
      <formula>NOT(ISERROR(SEARCH("Deferred",G90)))</formula>
    </cfRule>
    <cfRule type="containsText" dxfId="201" priority="195" operator="containsText" text="Deleted">
      <formula>NOT(ISERROR(SEARCH("Deleted",G90)))</formula>
    </cfRule>
    <cfRule type="containsText" dxfId="200" priority="196" operator="containsText" text="In Danger of Falling Behind Target">
      <formula>NOT(ISERROR(SEARCH("In Danger of Falling Behind Target",G90)))</formula>
    </cfRule>
    <cfRule type="containsText" dxfId="199" priority="197" operator="containsText" text="Not yet due">
      <formula>NOT(ISERROR(SEARCH("Not yet due",G90)))</formula>
    </cfRule>
    <cfRule type="containsText" dxfId="198" priority="198" operator="containsText" text="Completed Behind Schedule">
      <formula>NOT(ISERROR(SEARCH("Completed Behind Schedule",G90)))</formula>
    </cfRule>
    <cfRule type="containsText" dxfId="197" priority="199" operator="containsText" text="Off Target">
      <formula>NOT(ISERROR(SEARCH("Off Target",G90)))</formula>
    </cfRule>
    <cfRule type="containsText" dxfId="196" priority="200" operator="containsText" text="In Danger of Falling Behind Target">
      <formula>NOT(ISERROR(SEARCH("In Danger of Falling Behind Target",G90)))</formula>
    </cfRule>
    <cfRule type="containsText" dxfId="195" priority="201" operator="containsText" text="On Track to be Achieved">
      <formula>NOT(ISERROR(SEARCH("On Track to be Achieved",G90)))</formula>
    </cfRule>
    <cfRule type="containsText" dxfId="194" priority="202" operator="containsText" text="Fully Achieved">
      <formula>NOT(ISERROR(SEARCH("Fully Achieved",G90)))</formula>
    </cfRule>
    <cfRule type="containsText" dxfId="193" priority="203" operator="containsText" text="Update not Provided">
      <formula>NOT(ISERROR(SEARCH("Update not Provided",G90)))</formula>
    </cfRule>
    <cfRule type="containsText" dxfId="192" priority="204" operator="containsText" text="Not yet due">
      <formula>NOT(ISERROR(SEARCH("Not yet due",G90)))</formula>
    </cfRule>
    <cfRule type="containsText" dxfId="191" priority="205" operator="containsText" text="Completed Behind Schedule">
      <formula>NOT(ISERROR(SEARCH("Completed Behind Schedule",G90)))</formula>
    </cfRule>
    <cfRule type="containsText" dxfId="190" priority="206" operator="containsText" text="Off Target">
      <formula>NOT(ISERROR(SEARCH("Off Target",G90)))</formula>
    </cfRule>
    <cfRule type="containsText" dxfId="189" priority="207" operator="containsText" text="In Danger of Falling Behind Target">
      <formula>NOT(ISERROR(SEARCH("In Danger of Falling Behind Target",G90)))</formula>
    </cfRule>
    <cfRule type="containsText" dxfId="188" priority="208" operator="containsText" text="On Track to be Achieved">
      <formula>NOT(ISERROR(SEARCH("On Track to be Achieved",G90)))</formula>
    </cfRule>
    <cfRule type="containsText" dxfId="187" priority="209" operator="containsText" text="Fully Achieved">
      <formula>NOT(ISERROR(SEARCH("Fully Achieved",G90)))</formula>
    </cfRule>
    <cfRule type="containsText" dxfId="186" priority="210" operator="containsText" text="Fully Achieved">
      <formula>NOT(ISERROR(SEARCH("Fully Achieved",G90)))</formula>
    </cfRule>
    <cfRule type="containsText" dxfId="185" priority="211" operator="containsText" text="Fully Achieved">
      <formula>NOT(ISERROR(SEARCH("Fully Achieved",G90)))</formula>
    </cfRule>
    <cfRule type="containsText" dxfId="184" priority="212" operator="containsText" text="Deferred">
      <formula>NOT(ISERROR(SEARCH("Deferred",G90)))</formula>
    </cfRule>
    <cfRule type="containsText" dxfId="183" priority="213" operator="containsText" text="Deleted">
      <formula>NOT(ISERROR(SEARCH("Deleted",G90)))</formula>
    </cfRule>
    <cfRule type="containsText" dxfId="182" priority="214" operator="containsText" text="In Danger of Falling Behind Target">
      <formula>NOT(ISERROR(SEARCH("In Danger of Falling Behind Target",G90)))</formula>
    </cfRule>
    <cfRule type="containsText" dxfId="181" priority="215" operator="containsText" text="Not yet due">
      <formula>NOT(ISERROR(SEARCH("Not yet due",G90)))</formula>
    </cfRule>
    <cfRule type="containsText" dxfId="180" priority="216" operator="containsText" text="Update not Provided">
      <formula>NOT(ISERROR(SEARCH("Update not Provided",G90)))</formula>
    </cfRule>
  </conditionalFormatting>
  <conditionalFormatting sqref="G101">
    <cfRule type="containsText" dxfId="179" priority="145" operator="containsText" text="On track to be achieved">
      <formula>NOT(ISERROR(SEARCH("On track to be achieved",G101)))</formula>
    </cfRule>
    <cfRule type="containsText" dxfId="178" priority="146" operator="containsText" text="Deferred">
      <formula>NOT(ISERROR(SEARCH("Deferred",G101)))</formula>
    </cfRule>
    <cfRule type="containsText" dxfId="177" priority="147" operator="containsText" text="Deleted">
      <formula>NOT(ISERROR(SEARCH("Deleted",G101)))</formula>
    </cfRule>
    <cfRule type="containsText" dxfId="176" priority="148" operator="containsText" text="In Danger of Falling Behind Target">
      <formula>NOT(ISERROR(SEARCH("In Danger of Falling Behind Target",G101)))</formula>
    </cfRule>
    <cfRule type="containsText" dxfId="175" priority="149" operator="containsText" text="Not yet due">
      <formula>NOT(ISERROR(SEARCH("Not yet due",G101)))</formula>
    </cfRule>
    <cfRule type="containsText" dxfId="174" priority="150" operator="containsText" text="Update not Provided">
      <formula>NOT(ISERROR(SEARCH("Update not Provided",G101)))</formula>
    </cfRule>
    <cfRule type="containsText" dxfId="173" priority="151" operator="containsText" text="Not yet due">
      <formula>NOT(ISERROR(SEARCH("Not yet due",G101)))</formula>
    </cfRule>
    <cfRule type="containsText" dxfId="172" priority="152" operator="containsText" text="Completed Behind Schedule">
      <formula>NOT(ISERROR(SEARCH("Completed Behind Schedule",G101)))</formula>
    </cfRule>
    <cfRule type="containsText" dxfId="171" priority="153" operator="containsText" text="Off Target">
      <formula>NOT(ISERROR(SEARCH("Off Target",G101)))</formula>
    </cfRule>
    <cfRule type="containsText" dxfId="170" priority="154" operator="containsText" text="On Track to be Achieved">
      <formula>NOT(ISERROR(SEARCH("On Track to be Achieved",G101)))</formula>
    </cfRule>
    <cfRule type="containsText" dxfId="169" priority="155" operator="containsText" text="Fully Achieved">
      <formula>NOT(ISERROR(SEARCH("Fully Achieved",G101)))</formula>
    </cfRule>
    <cfRule type="containsText" dxfId="168" priority="156" operator="containsText" text="Not yet due">
      <formula>NOT(ISERROR(SEARCH("Not yet due",G101)))</formula>
    </cfRule>
    <cfRule type="containsText" dxfId="167" priority="157" operator="containsText" text="Not Yet Due">
      <formula>NOT(ISERROR(SEARCH("Not Yet Due",G101)))</formula>
    </cfRule>
    <cfRule type="containsText" dxfId="166" priority="158" operator="containsText" text="Deferred">
      <formula>NOT(ISERROR(SEARCH("Deferred",G101)))</formula>
    </cfRule>
    <cfRule type="containsText" dxfId="165" priority="159" operator="containsText" text="Deleted">
      <formula>NOT(ISERROR(SEARCH("Deleted",G101)))</formula>
    </cfRule>
    <cfRule type="containsText" dxfId="164" priority="160" operator="containsText" text="In Danger of Falling Behind Target">
      <formula>NOT(ISERROR(SEARCH("In Danger of Falling Behind Target",G101)))</formula>
    </cfRule>
    <cfRule type="containsText" dxfId="163" priority="161" operator="containsText" text="Not yet due">
      <formula>NOT(ISERROR(SEARCH("Not yet due",G101)))</formula>
    </cfRule>
    <cfRule type="containsText" dxfId="162" priority="162" operator="containsText" text="Completed Behind Schedule">
      <formula>NOT(ISERROR(SEARCH("Completed Behind Schedule",G101)))</formula>
    </cfRule>
    <cfRule type="containsText" dxfId="161" priority="163" operator="containsText" text="Off Target">
      <formula>NOT(ISERROR(SEARCH("Off Target",G101)))</formula>
    </cfRule>
    <cfRule type="containsText" dxfId="160" priority="164" operator="containsText" text="In Danger of Falling Behind Target">
      <formula>NOT(ISERROR(SEARCH("In Danger of Falling Behind Target",G101)))</formula>
    </cfRule>
    <cfRule type="containsText" dxfId="159" priority="165" operator="containsText" text="On Track to be Achieved">
      <formula>NOT(ISERROR(SEARCH("On Track to be Achieved",G101)))</formula>
    </cfRule>
    <cfRule type="containsText" dxfId="158" priority="166" operator="containsText" text="Fully Achieved">
      <formula>NOT(ISERROR(SEARCH("Fully Achieved",G101)))</formula>
    </cfRule>
    <cfRule type="containsText" dxfId="157" priority="167" operator="containsText" text="Update not Provided">
      <formula>NOT(ISERROR(SEARCH("Update not Provided",G101)))</formula>
    </cfRule>
    <cfRule type="containsText" dxfId="156" priority="168" operator="containsText" text="Not yet due">
      <formula>NOT(ISERROR(SEARCH("Not yet due",G101)))</formula>
    </cfRule>
    <cfRule type="containsText" dxfId="155" priority="169" operator="containsText" text="Completed Behind Schedule">
      <formula>NOT(ISERROR(SEARCH("Completed Behind Schedule",G101)))</formula>
    </cfRule>
    <cfRule type="containsText" dxfId="154" priority="170" operator="containsText" text="Off Target">
      <formula>NOT(ISERROR(SEARCH("Off Target",G101)))</formula>
    </cfRule>
    <cfRule type="containsText" dxfId="153" priority="171" operator="containsText" text="In Danger of Falling Behind Target">
      <formula>NOT(ISERROR(SEARCH("In Danger of Falling Behind Target",G101)))</formula>
    </cfRule>
    <cfRule type="containsText" dxfId="152" priority="172" operator="containsText" text="On Track to be Achieved">
      <formula>NOT(ISERROR(SEARCH("On Track to be Achieved",G101)))</formula>
    </cfRule>
    <cfRule type="containsText" dxfId="151" priority="173" operator="containsText" text="Fully Achieved">
      <formula>NOT(ISERROR(SEARCH("Fully Achieved",G101)))</formula>
    </cfRule>
    <cfRule type="containsText" dxfId="150" priority="174" operator="containsText" text="Fully Achieved">
      <formula>NOT(ISERROR(SEARCH("Fully Achieved",G101)))</formula>
    </cfRule>
    <cfRule type="containsText" dxfId="149" priority="175" operator="containsText" text="Fully Achieved">
      <formula>NOT(ISERROR(SEARCH("Fully Achieved",G101)))</formula>
    </cfRule>
    <cfRule type="containsText" dxfId="148" priority="176" operator="containsText" text="Deferred">
      <formula>NOT(ISERROR(SEARCH("Deferred",G101)))</formula>
    </cfRule>
    <cfRule type="containsText" dxfId="147" priority="177" operator="containsText" text="Deleted">
      <formula>NOT(ISERROR(SEARCH("Deleted",G101)))</formula>
    </cfRule>
    <cfRule type="containsText" dxfId="146" priority="178" operator="containsText" text="In Danger of Falling Behind Target">
      <formula>NOT(ISERROR(SEARCH("In Danger of Falling Behind Target",G101)))</formula>
    </cfRule>
    <cfRule type="containsText" dxfId="145" priority="179" operator="containsText" text="Not yet due">
      <formula>NOT(ISERROR(SEARCH("Not yet due",G101)))</formula>
    </cfRule>
    <cfRule type="containsText" dxfId="144" priority="180" operator="containsText" text="Update not Provided">
      <formula>NOT(ISERROR(SEARCH("Update not Provided",G101)))</formula>
    </cfRule>
  </conditionalFormatting>
  <conditionalFormatting sqref="G101">
    <cfRule type="containsText" dxfId="143" priority="109" operator="containsText" text="On track to be achieved">
      <formula>NOT(ISERROR(SEARCH("On track to be achieved",G101)))</formula>
    </cfRule>
    <cfRule type="containsText" dxfId="142" priority="110" operator="containsText" text="Deferred">
      <formula>NOT(ISERROR(SEARCH("Deferred",G101)))</formula>
    </cfRule>
    <cfRule type="containsText" dxfId="141" priority="111" operator="containsText" text="Deleted">
      <formula>NOT(ISERROR(SEARCH("Deleted",G101)))</formula>
    </cfRule>
    <cfRule type="containsText" dxfId="140" priority="112" operator="containsText" text="In Danger of Falling Behind Target">
      <formula>NOT(ISERROR(SEARCH("In Danger of Falling Behind Target",G101)))</formula>
    </cfRule>
    <cfRule type="containsText" dxfId="139" priority="113" operator="containsText" text="Not yet due">
      <formula>NOT(ISERROR(SEARCH("Not yet due",G101)))</formula>
    </cfRule>
    <cfRule type="containsText" dxfId="138" priority="114" operator="containsText" text="Update not Provided">
      <formula>NOT(ISERROR(SEARCH("Update not Provided",G101)))</formula>
    </cfRule>
    <cfRule type="containsText" dxfId="137" priority="115" operator="containsText" text="Not yet due">
      <formula>NOT(ISERROR(SEARCH("Not yet due",G101)))</formula>
    </cfRule>
    <cfRule type="containsText" dxfId="136" priority="116" operator="containsText" text="Completed Behind Schedule">
      <formula>NOT(ISERROR(SEARCH("Completed Behind Schedule",G101)))</formula>
    </cfRule>
    <cfRule type="containsText" dxfId="135" priority="117" operator="containsText" text="Off Target">
      <formula>NOT(ISERROR(SEARCH("Off Target",G101)))</formula>
    </cfRule>
    <cfRule type="containsText" dxfId="134" priority="118" operator="containsText" text="On Track to be Achieved">
      <formula>NOT(ISERROR(SEARCH("On Track to be Achieved",G101)))</formula>
    </cfRule>
    <cfRule type="containsText" dxfId="133" priority="119" operator="containsText" text="Fully Achieved">
      <formula>NOT(ISERROR(SEARCH("Fully Achieved",G101)))</formula>
    </cfRule>
    <cfRule type="containsText" dxfId="132" priority="120" operator="containsText" text="Not yet due">
      <formula>NOT(ISERROR(SEARCH("Not yet due",G101)))</formula>
    </cfRule>
    <cfRule type="containsText" dxfId="131" priority="121" operator="containsText" text="Not Yet Due">
      <formula>NOT(ISERROR(SEARCH("Not Yet Due",G101)))</formula>
    </cfRule>
    <cfRule type="containsText" dxfId="130" priority="122" operator="containsText" text="Deferred">
      <formula>NOT(ISERROR(SEARCH("Deferred",G101)))</formula>
    </cfRule>
    <cfRule type="containsText" dxfId="129" priority="123" operator="containsText" text="Deleted">
      <formula>NOT(ISERROR(SEARCH("Deleted",G101)))</formula>
    </cfRule>
    <cfRule type="containsText" dxfId="128" priority="124" operator="containsText" text="In Danger of Falling Behind Target">
      <formula>NOT(ISERROR(SEARCH("In Danger of Falling Behind Target",G101)))</formula>
    </cfRule>
    <cfRule type="containsText" dxfId="127" priority="125" operator="containsText" text="Not yet due">
      <formula>NOT(ISERROR(SEARCH("Not yet due",G101)))</formula>
    </cfRule>
    <cfRule type="containsText" dxfId="126" priority="126" operator="containsText" text="Completed Behind Schedule">
      <formula>NOT(ISERROR(SEARCH("Completed Behind Schedule",G101)))</formula>
    </cfRule>
    <cfRule type="containsText" dxfId="125" priority="127" operator="containsText" text="Off Target">
      <formula>NOT(ISERROR(SEARCH("Off Target",G101)))</formula>
    </cfRule>
    <cfRule type="containsText" dxfId="124" priority="128" operator="containsText" text="In Danger of Falling Behind Target">
      <formula>NOT(ISERROR(SEARCH("In Danger of Falling Behind Target",G101)))</formula>
    </cfRule>
    <cfRule type="containsText" dxfId="123" priority="129" operator="containsText" text="On Track to be Achieved">
      <formula>NOT(ISERROR(SEARCH("On Track to be Achieved",G101)))</formula>
    </cfRule>
    <cfRule type="containsText" dxfId="122" priority="130" operator="containsText" text="Fully Achieved">
      <formula>NOT(ISERROR(SEARCH("Fully Achieved",G101)))</formula>
    </cfRule>
    <cfRule type="containsText" dxfId="121" priority="131" operator="containsText" text="Update not Provided">
      <formula>NOT(ISERROR(SEARCH("Update not Provided",G101)))</formula>
    </cfRule>
    <cfRule type="containsText" dxfId="120" priority="132" operator="containsText" text="Not yet due">
      <formula>NOT(ISERROR(SEARCH("Not yet due",G101)))</formula>
    </cfRule>
    <cfRule type="containsText" dxfId="119" priority="133" operator="containsText" text="Completed Behind Schedule">
      <formula>NOT(ISERROR(SEARCH("Completed Behind Schedule",G101)))</formula>
    </cfRule>
    <cfRule type="containsText" dxfId="118" priority="134" operator="containsText" text="Off Target">
      <formula>NOT(ISERROR(SEARCH("Off Target",G101)))</formula>
    </cfRule>
    <cfRule type="containsText" dxfId="117" priority="135" operator="containsText" text="In Danger of Falling Behind Target">
      <formula>NOT(ISERROR(SEARCH("In Danger of Falling Behind Target",G101)))</formula>
    </cfRule>
    <cfRule type="containsText" dxfId="116" priority="136" operator="containsText" text="On Track to be Achieved">
      <formula>NOT(ISERROR(SEARCH("On Track to be Achieved",G101)))</formula>
    </cfRule>
    <cfRule type="containsText" dxfId="115" priority="137" operator="containsText" text="Fully Achieved">
      <formula>NOT(ISERROR(SEARCH("Fully Achieved",G101)))</formula>
    </cfRule>
    <cfRule type="containsText" dxfId="114" priority="138" operator="containsText" text="Fully Achieved">
      <formula>NOT(ISERROR(SEARCH("Fully Achieved",G101)))</formula>
    </cfRule>
    <cfRule type="containsText" dxfId="113" priority="139" operator="containsText" text="Fully Achieved">
      <formula>NOT(ISERROR(SEARCH("Fully Achieved",G101)))</formula>
    </cfRule>
    <cfRule type="containsText" dxfId="112" priority="140" operator="containsText" text="Deferred">
      <formula>NOT(ISERROR(SEARCH("Deferred",G101)))</formula>
    </cfRule>
    <cfRule type="containsText" dxfId="111" priority="141" operator="containsText" text="Deleted">
      <formula>NOT(ISERROR(SEARCH("Deleted",G101)))</formula>
    </cfRule>
    <cfRule type="containsText" dxfId="110" priority="142" operator="containsText" text="In Danger of Falling Behind Target">
      <formula>NOT(ISERROR(SEARCH("In Danger of Falling Behind Target",G101)))</formula>
    </cfRule>
    <cfRule type="containsText" dxfId="109" priority="143" operator="containsText" text="Not yet due">
      <formula>NOT(ISERROR(SEARCH("Not yet due",G101)))</formula>
    </cfRule>
    <cfRule type="containsText" dxfId="108" priority="144" operator="containsText" text="Update not Provided">
      <formula>NOT(ISERROR(SEARCH("Update not Provided",G101)))</formula>
    </cfRule>
  </conditionalFormatting>
  <conditionalFormatting sqref="G103:G121">
    <cfRule type="containsText" dxfId="107" priority="73" operator="containsText" text="On track to be achieved">
      <formula>NOT(ISERROR(SEARCH("On track to be achieved",G103)))</formula>
    </cfRule>
    <cfRule type="containsText" dxfId="106" priority="74" operator="containsText" text="Deferred">
      <formula>NOT(ISERROR(SEARCH("Deferred",G103)))</formula>
    </cfRule>
    <cfRule type="containsText" dxfId="105" priority="75" operator="containsText" text="Deleted">
      <formula>NOT(ISERROR(SEARCH("Deleted",G103)))</formula>
    </cfRule>
    <cfRule type="containsText" dxfId="104" priority="76" operator="containsText" text="In Danger of Falling Behind Target">
      <formula>NOT(ISERROR(SEARCH("In Danger of Falling Behind Target",G103)))</formula>
    </cfRule>
    <cfRule type="containsText" dxfId="103" priority="77" operator="containsText" text="Not yet due">
      <formula>NOT(ISERROR(SEARCH("Not yet due",G103)))</formula>
    </cfRule>
    <cfRule type="containsText" dxfId="102" priority="78" operator="containsText" text="Update not Provided">
      <formula>NOT(ISERROR(SEARCH("Update not Provided",G103)))</formula>
    </cfRule>
    <cfRule type="containsText" dxfId="101" priority="79" operator="containsText" text="Not yet due">
      <formula>NOT(ISERROR(SEARCH("Not yet due",G103)))</formula>
    </cfRule>
    <cfRule type="containsText" dxfId="100" priority="80" operator="containsText" text="Completed Behind Schedule">
      <formula>NOT(ISERROR(SEARCH("Completed Behind Schedule",G103)))</formula>
    </cfRule>
    <cfRule type="containsText" dxfId="99" priority="81" operator="containsText" text="Off Target">
      <formula>NOT(ISERROR(SEARCH("Off Target",G103)))</formula>
    </cfRule>
    <cfRule type="containsText" dxfId="98" priority="82" operator="containsText" text="On Track to be Achieved">
      <formula>NOT(ISERROR(SEARCH("On Track to be Achieved",G103)))</formula>
    </cfRule>
    <cfRule type="containsText" dxfId="97" priority="83" operator="containsText" text="Fully Achieved">
      <formula>NOT(ISERROR(SEARCH("Fully Achieved",G103)))</formula>
    </cfRule>
    <cfRule type="containsText" dxfId="96" priority="84" operator="containsText" text="Not yet due">
      <formula>NOT(ISERROR(SEARCH("Not yet due",G103)))</formula>
    </cfRule>
    <cfRule type="containsText" dxfId="95" priority="85" operator="containsText" text="Not Yet Due">
      <formula>NOT(ISERROR(SEARCH("Not Yet Due",G103)))</formula>
    </cfRule>
    <cfRule type="containsText" dxfId="94" priority="86" operator="containsText" text="Deferred">
      <formula>NOT(ISERROR(SEARCH("Deferred",G103)))</formula>
    </cfRule>
    <cfRule type="containsText" dxfId="93" priority="87" operator="containsText" text="Deleted">
      <formula>NOT(ISERROR(SEARCH("Deleted",G103)))</formula>
    </cfRule>
    <cfRule type="containsText" dxfId="92" priority="88" operator="containsText" text="In Danger of Falling Behind Target">
      <formula>NOT(ISERROR(SEARCH("In Danger of Falling Behind Target",G103)))</formula>
    </cfRule>
    <cfRule type="containsText" dxfId="91" priority="89" operator="containsText" text="Not yet due">
      <formula>NOT(ISERROR(SEARCH("Not yet due",G103)))</formula>
    </cfRule>
    <cfRule type="containsText" dxfId="90" priority="90" operator="containsText" text="Completed Behind Schedule">
      <formula>NOT(ISERROR(SEARCH("Completed Behind Schedule",G103)))</formula>
    </cfRule>
    <cfRule type="containsText" dxfId="89" priority="91" operator="containsText" text="Off Target">
      <formula>NOT(ISERROR(SEARCH("Off Target",G103)))</formula>
    </cfRule>
    <cfRule type="containsText" dxfId="88" priority="92" operator="containsText" text="In Danger of Falling Behind Target">
      <formula>NOT(ISERROR(SEARCH("In Danger of Falling Behind Target",G103)))</formula>
    </cfRule>
    <cfRule type="containsText" dxfId="87" priority="93" operator="containsText" text="On Track to be Achieved">
      <formula>NOT(ISERROR(SEARCH("On Track to be Achieved",G103)))</formula>
    </cfRule>
    <cfRule type="containsText" dxfId="86" priority="94" operator="containsText" text="Fully Achieved">
      <formula>NOT(ISERROR(SEARCH("Fully Achieved",G103)))</formula>
    </cfRule>
    <cfRule type="containsText" dxfId="85" priority="95" operator="containsText" text="Update not Provided">
      <formula>NOT(ISERROR(SEARCH("Update not Provided",G103)))</formula>
    </cfRule>
    <cfRule type="containsText" dxfId="84" priority="96" operator="containsText" text="Not yet due">
      <formula>NOT(ISERROR(SEARCH("Not yet due",G103)))</formula>
    </cfRule>
    <cfRule type="containsText" dxfId="83" priority="97" operator="containsText" text="Completed Behind Schedule">
      <formula>NOT(ISERROR(SEARCH("Completed Behind Schedule",G103)))</formula>
    </cfRule>
    <cfRule type="containsText" dxfId="82" priority="98" operator="containsText" text="Off Target">
      <formula>NOT(ISERROR(SEARCH("Off Target",G103)))</formula>
    </cfRule>
    <cfRule type="containsText" dxfId="81" priority="99" operator="containsText" text="In Danger of Falling Behind Target">
      <formula>NOT(ISERROR(SEARCH("In Danger of Falling Behind Target",G103)))</formula>
    </cfRule>
    <cfRule type="containsText" dxfId="80" priority="100" operator="containsText" text="On Track to be Achieved">
      <formula>NOT(ISERROR(SEARCH("On Track to be Achieved",G103)))</formula>
    </cfRule>
    <cfRule type="containsText" dxfId="79" priority="101" operator="containsText" text="Fully Achieved">
      <formula>NOT(ISERROR(SEARCH("Fully Achieved",G103)))</formula>
    </cfRule>
    <cfRule type="containsText" dxfId="78" priority="102" operator="containsText" text="Fully Achieved">
      <formula>NOT(ISERROR(SEARCH("Fully Achieved",G103)))</formula>
    </cfRule>
    <cfRule type="containsText" dxfId="77" priority="103" operator="containsText" text="Fully Achieved">
      <formula>NOT(ISERROR(SEARCH("Fully Achieved",G103)))</formula>
    </cfRule>
    <cfRule type="containsText" dxfId="76" priority="104" operator="containsText" text="Deferred">
      <formula>NOT(ISERROR(SEARCH("Deferred",G103)))</formula>
    </cfRule>
    <cfRule type="containsText" dxfId="75" priority="105" operator="containsText" text="Deleted">
      <formula>NOT(ISERROR(SEARCH("Deleted",G103)))</formula>
    </cfRule>
    <cfRule type="containsText" dxfId="74" priority="106" operator="containsText" text="In Danger of Falling Behind Target">
      <formula>NOT(ISERROR(SEARCH("In Danger of Falling Behind Target",G103)))</formula>
    </cfRule>
    <cfRule type="containsText" dxfId="73" priority="107" operator="containsText" text="Not yet due">
      <formula>NOT(ISERROR(SEARCH("Not yet due",G103)))</formula>
    </cfRule>
    <cfRule type="containsText" dxfId="72" priority="108" operator="containsText" text="Update not Provided">
      <formula>NOT(ISERROR(SEARCH("Update not Provided",G103)))</formula>
    </cfRule>
  </conditionalFormatting>
  <conditionalFormatting sqref="G122">
    <cfRule type="containsText" dxfId="71" priority="37" operator="containsText" text="On track to be achieved">
      <formula>NOT(ISERROR(SEARCH("On track to be achieved",G122)))</formula>
    </cfRule>
    <cfRule type="containsText" dxfId="70" priority="38" operator="containsText" text="Deferred">
      <formula>NOT(ISERROR(SEARCH("Deferred",G122)))</formula>
    </cfRule>
    <cfRule type="containsText" dxfId="69" priority="39" operator="containsText" text="Deleted">
      <formula>NOT(ISERROR(SEARCH("Deleted",G122)))</formula>
    </cfRule>
    <cfRule type="containsText" dxfId="68" priority="40" operator="containsText" text="In Danger of Falling Behind Target">
      <formula>NOT(ISERROR(SEARCH("In Danger of Falling Behind Target",G122)))</formula>
    </cfRule>
    <cfRule type="containsText" dxfId="67" priority="41" operator="containsText" text="Not yet due">
      <formula>NOT(ISERROR(SEARCH("Not yet due",G122)))</formula>
    </cfRule>
    <cfRule type="containsText" dxfId="66" priority="42" operator="containsText" text="Update not Provided">
      <formula>NOT(ISERROR(SEARCH("Update not Provided",G122)))</formula>
    </cfRule>
    <cfRule type="containsText" dxfId="65" priority="43" operator="containsText" text="Not yet due">
      <formula>NOT(ISERROR(SEARCH("Not yet due",G122)))</formula>
    </cfRule>
    <cfRule type="containsText" dxfId="64" priority="44" operator="containsText" text="Completed Behind Schedule">
      <formula>NOT(ISERROR(SEARCH("Completed Behind Schedule",G122)))</formula>
    </cfRule>
    <cfRule type="containsText" dxfId="63" priority="45" operator="containsText" text="Off Target">
      <formula>NOT(ISERROR(SEARCH("Off Target",G122)))</formula>
    </cfRule>
    <cfRule type="containsText" dxfId="62" priority="46" operator="containsText" text="On Track to be Achieved">
      <formula>NOT(ISERROR(SEARCH("On Track to be Achieved",G122)))</formula>
    </cfRule>
    <cfRule type="containsText" dxfId="61" priority="47" operator="containsText" text="Fully Achieved">
      <formula>NOT(ISERROR(SEARCH("Fully Achieved",G122)))</formula>
    </cfRule>
    <cfRule type="containsText" dxfId="60" priority="48" operator="containsText" text="Not yet due">
      <formula>NOT(ISERROR(SEARCH("Not yet due",G122)))</formula>
    </cfRule>
    <cfRule type="containsText" dxfId="59" priority="49" operator="containsText" text="Not Yet Due">
      <formula>NOT(ISERROR(SEARCH("Not Yet Due",G122)))</formula>
    </cfRule>
    <cfRule type="containsText" dxfId="58" priority="50" operator="containsText" text="Deferred">
      <formula>NOT(ISERROR(SEARCH("Deferred",G122)))</formula>
    </cfRule>
    <cfRule type="containsText" dxfId="57" priority="51" operator="containsText" text="Deleted">
      <formula>NOT(ISERROR(SEARCH("Deleted",G122)))</formula>
    </cfRule>
    <cfRule type="containsText" dxfId="56" priority="52" operator="containsText" text="In Danger of Falling Behind Target">
      <formula>NOT(ISERROR(SEARCH("In Danger of Falling Behind Target",G122)))</formula>
    </cfRule>
    <cfRule type="containsText" dxfId="55" priority="53" operator="containsText" text="Not yet due">
      <formula>NOT(ISERROR(SEARCH("Not yet due",G122)))</formula>
    </cfRule>
    <cfRule type="containsText" dxfId="54" priority="54" operator="containsText" text="Completed Behind Schedule">
      <formula>NOT(ISERROR(SEARCH("Completed Behind Schedule",G122)))</formula>
    </cfRule>
    <cfRule type="containsText" dxfId="53" priority="55" operator="containsText" text="Off Target">
      <formula>NOT(ISERROR(SEARCH("Off Target",G122)))</formula>
    </cfRule>
    <cfRule type="containsText" dxfId="52" priority="56" operator="containsText" text="In Danger of Falling Behind Target">
      <formula>NOT(ISERROR(SEARCH("In Danger of Falling Behind Target",G122)))</formula>
    </cfRule>
    <cfRule type="containsText" dxfId="51" priority="57" operator="containsText" text="On Track to be Achieved">
      <formula>NOT(ISERROR(SEARCH("On Track to be Achieved",G122)))</formula>
    </cfRule>
    <cfRule type="containsText" dxfId="50" priority="58" operator="containsText" text="Fully Achieved">
      <formula>NOT(ISERROR(SEARCH("Fully Achieved",G122)))</formula>
    </cfRule>
    <cfRule type="containsText" dxfId="49" priority="59" operator="containsText" text="Update not Provided">
      <formula>NOT(ISERROR(SEARCH("Update not Provided",G122)))</formula>
    </cfRule>
    <cfRule type="containsText" dxfId="48" priority="60" operator="containsText" text="Not yet due">
      <formula>NOT(ISERROR(SEARCH("Not yet due",G122)))</formula>
    </cfRule>
    <cfRule type="containsText" dxfId="47" priority="61" operator="containsText" text="Completed Behind Schedule">
      <formula>NOT(ISERROR(SEARCH("Completed Behind Schedule",G122)))</formula>
    </cfRule>
    <cfRule type="containsText" dxfId="46" priority="62" operator="containsText" text="Off Target">
      <formula>NOT(ISERROR(SEARCH("Off Target",G122)))</formula>
    </cfRule>
    <cfRule type="containsText" dxfId="45" priority="63" operator="containsText" text="In Danger of Falling Behind Target">
      <formula>NOT(ISERROR(SEARCH("In Danger of Falling Behind Target",G122)))</formula>
    </cfRule>
    <cfRule type="containsText" dxfId="44" priority="64" operator="containsText" text="On Track to be Achieved">
      <formula>NOT(ISERROR(SEARCH("On Track to be Achieved",G122)))</formula>
    </cfRule>
    <cfRule type="containsText" dxfId="43" priority="65" operator="containsText" text="Fully Achieved">
      <formula>NOT(ISERROR(SEARCH("Fully Achieved",G122)))</formula>
    </cfRule>
    <cfRule type="containsText" dxfId="42" priority="66" operator="containsText" text="Fully Achieved">
      <formula>NOT(ISERROR(SEARCH("Fully Achieved",G122)))</formula>
    </cfRule>
    <cfRule type="containsText" dxfId="41" priority="67" operator="containsText" text="Fully Achieved">
      <formula>NOT(ISERROR(SEARCH("Fully Achieved",G122)))</formula>
    </cfRule>
    <cfRule type="containsText" dxfId="40" priority="68" operator="containsText" text="Deferred">
      <formula>NOT(ISERROR(SEARCH("Deferred",G122)))</formula>
    </cfRule>
    <cfRule type="containsText" dxfId="39" priority="69" operator="containsText" text="Deleted">
      <formula>NOT(ISERROR(SEARCH("Deleted",G122)))</formula>
    </cfRule>
    <cfRule type="containsText" dxfId="38" priority="70" operator="containsText" text="In Danger of Falling Behind Target">
      <formula>NOT(ISERROR(SEARCH("In Danger of Falling Behind Target",G122)))</formula>
    </cfRule>
    <cfRule type="containsText" dxfId="37" priority="71" operator="containsText" text="Not yet due">
      <formula>NOT(ISERROR(SEARCH("Not yet due",G122)))</formula>
    </cfRule>
    <cfRule type="containsText" dxfId="36" priority="72" operator="containsText" text="Update not Provided">
      <formula>NOT(ISERROR(SEARCH("Update not Provided",G122)))</formula>
    </cfRule>
  </conditionalFormatting>
  <conditionalFormatting sqref="G122">
    <cfRule type="containsText" dxfId="35" priority="1" operator="containsText" text="On track to be achieved">
      <formula>NOT(ISERROR(SEARCH("On track to be achieved",G122)))</formula>
    </cfRule>
    <cfRule type="containsText" dxfId="34" priority="2" operator="containsText" text="Deferred">
      <formula>NOT(ISERROR(SEARCH("Deferred",G122)))</formula>
    </cfRule>
    <cfRule type="containsText" dxfId="33" priority="3" operator="containsText" text="Deleted">
      <formula>NOT(ISERROR(SEARCH("Deleted",G122)))</formula>
    </cfRule>
    <cfRule type="containsText" dxfId="32" priority="4" operator="containsText" text="In Danger of Falling Behind Target">
      <formula>NOT(ISERROR(SEARCH("In Danger of Falling Behind Target",G122)))</formula>
    </cfRule>
    <cfRule type="containsText" dxfId="31" priority="5" operator="containsText" text="Not yet due">
      <formula>NOT(ISERROR(SEARCH("Not yet due",G122)))</formula>
    </cfRule>
    <cfRule type="containsText" dxfId="30" priority="6" operator="containsText" text="Update not Provided">
      <formula>NOT(ISERROR(SEARCH("Update not Provided",G122)))</formula>
    </cfRule>
    <cfRule type="containsText" dxfId="29" priority="7" operator="containsText" text="Not yet due">
      <formula>NOT(ISERROR(SEARCH("Not yet due",G122)))</formula>
    </cfRule>
    <cfRule type="containsText" dxfId="28" priority="8" operator="containsText" text="Completed Behind Schedule">
      <formula>NOT(ISERROR(SEARCH("Completed Behind Schedule",G122)))</formula>
    </cfRule>
    <cfRule type="containsText" dxfId="27" priority="9" operator="containsText" text="Off Target">
      <formula>NOT(ISERROR(SEARCH("Off Target",G122)))</formula>
    </cfRule>
    <cfRule type="containsText" dxfId="26" priority="10" operator="containsText" text="On Track to be Achieved">
      <formula>NOT(ISERROR(SEARCH("On Track to be Achieved",G122)))</formula>
    </cfRule>
    <cfRule type="containsText" dxfId="25" priority="11" operator="containsText" text="Fully Achieved">
      <formula>NOT(ISERROR(SEARCH("Fully Achieved",G122)))</formula>
    </cfRule>
    <cfRule type="containsText" dxfId="24" priority="12" operator="containsText" text="Not yet due">
      <formula>NOT(ISERROR(SEARCH("Not yet due",G122)))</formula>
    </cfRule>
    <cfRule type="containsText" dxfId="23" priority="13" operator="containsText" text="Not Yet Due">
      <formula>NOT(ISERROR(SEARCH("Not Yet Due",G122)))</formula>
    </cfRule>
    <cfRule type="containsText" dxfId="22" priority="14" operator="containsText" text="Deferred">
      <formula>NOT(ISERROR(SEARCH("Deferred",G122)))</formula>
    </cfRule>
    <cfRule type="containsText" dxfId="21" priority="15" operator="containsText" text="Deleted">
      <formula>NOT(ISERROR(SEARCH("Deleted",G122)))</formula>
    </cfRule>
    <cfRule type="containsText" dxfId="20" priority="16" operator="containsText" text="In Danger of Falling Behind Target">
      <formula>NOT(ISERROR(SEARCH("In Danger of Falling Behind Target",G122)))</formula>
    </cfRule>
    <cfRule type="containsText" dxfId="19" priority="17" operator="containsText" text="Not yet due">
      <formula>NOT(ISERROR(SEARCH("Not yet due",G122)))</formula>
    </cfRule>
    <cfRule type="containsText" dxfId="18" priority="18" operator="containsText" text="Completed Behind Schedule">
      <formula>NOT(ISERROR(SEARCH("Completed Behind Schedule",G122)))</formula>
    </cfRule>
    <cfRule type="containsText" dxfId="17" priority="19" operator="containsText" text="Off Target">
      <formula>NOT(ISERROR(SEARCH("Off Target",G122)))</formula>
    </cfRule>
    <cfRule type="containsText" dxfId="16" priority="20" operator="containsText" text="In Danger of Falling Behind Target">
      <formula>NOT(ISERROR(SEARCH("In Danger of Falling Behind Target",G122)))</formula>
    </cfRule>
    <cfRule type="containsText" dxfId="15" priority="21" operator="containsText" text="On Track to be Achieved">
      <formula>NOT(ISERROR(SEARCH("On Track to be Achieved",G122)))</formula>
    </cfRule>
    <cfRule type="containsText" dxfId="14" priority="22" operator="containsText" text="Fully Achieved">
      <formula>NOT(ISERROR(SEARCH("Fully Achieved",G122)))</formula>
    </cfRule>
    <cfRule type="containsText" dxfId="13" priority="23" operator="containsText" text="Update not Provided">
      <formula>NOT(ISERROR(SEARCH("Update not Provided",G122)))</formula>
    </cfRule>
    <cfRule type="containsText" dxfId="12" priority="24" operator="containsText" text="Not yet due">
      <formula>NOT(ISERROR(SEARCH("Not yet due",G122)))</formula>
    </cfRule>
    <cfRule type="containsText" dxfId="11" priority="25" operator="containsText" text="Completed Behind Schedule">
      <formula>NOT(ISERROR(SEARCH("Completed Behind Schedule",G122)))</formula>
    </cfRule>
    <cfRule type="containsText" dxfId="10" priority="26" operator="containsText" text="Off Target">
      <formula>NOT(ISERROR(SEARCH("Off Target",G122)))</formula>
    </cfRule>
    <cfRule type="containsText" dxfId="9" priority="27" operator="containsText" text="In Danger of Falling Behind Target">
      <formula>NOT(ISERROR(SEARCH("In Danger of Falling Behind Target",G122)))</formula>
    </cfRule>
    <cfRule type="containsText" dxfId="8" priority="28" operator="containsText" text="On Track to be Achieved">
      <formula>NOT(ISERROR(SEARCH("On Track to be Achieved",G122)))</formula>
    </cfRule>
    <cfRule type="containsText" dxfId="7" priority="29" operator="containsText" text="Fully Achieved">
      <formula>NOT(ISERROR(SEARCH("Fully Achieved",G122)))</formula>
    </cfRule>
    <cfRule type="containsText" dxfId="6" priority="30" operator="containsText" text="Fully Achieved">
      <formula>NOT(ISERROR(SEARCH("Fully Achieved",G122)))</formula>
    </cfRule>
    <cfRule type="containsText" dxfId="5" priority="31" operator="containsText" text="Fully Achieved">
      <formula>NOT(ISERROR(SEARCH("Fully Achieved",G122)))</formula>
    </cfRule>
    <cfRule type="containsText" dxfId="4" priority="32" operator="containsText" text="Deferred">
      <formula>NOT(ISERROR(SEARCH("Deferred",G122)))</formula>
    </cfRule>
    <cfRule type="containsText" dxfId="3" priority="33" operator="containsText" text="Deleted">
      <formula>NOT(ISERROR(SEARCH("Deleted",G122)))</formula>
    </cfRule>
    <cfRule type="containsText" dxfId="2" priority="34" operator="containsText" text="In Danger of Falling Behind Target">
      <formula>NOT(ISERROR(SEARCH("In Danger of Falling Behind Target",G122)))</formula>
    </cfRule>
    <cfRule type="containsText" dxfId="1" priority="35" operator="containsText" text="Not yet due">
      <formula>NOT(ISERROR(SEARCH("Not yet due",G122)))</formula>
    </cfRule>
    <cfRule type="containsText" dxfId="0" priority="36" operator="containsText" text="Update not Provided">
      <formula>NOT(ISERROR(SEARCH("Update not Provided",G122)))</formula>
    </cfRule>
  </conditionalFormatting>
  <dataValidations count="2">
    <dataValidation type="list" allowBlank="1" showInputMessage="1" showErrorMessage="1" promptTitle="Is target on track?" prompt="Please choose an option from the drop down list that best describes the current situation for this target." sqref="R85 M85">
      <formula1>$A$129:$A$136</formula1>
    </dataValidation>
    <dataValidation type="list" allowBlank="1" showInputMessage="1" showErrorMessage="1" promptTitle="Is target on track?" prompt="Please choose an option from the drop down list that best describes the current situation for this target." sqref="V85">
      <formula1>$A$117:$A$122</formula1>
    </dataValidation>
  </dataValidations>
  <hyperlinks>
    <hyperlink ref="A1" location="INDEX!A1" display="Back to index"/>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863D"/>
  </sheetPr>
  <dimension ref="B1:AF89"/>
  <sheetViews>
    <sheetView topLeftCell="O1" zoomScale="70" zoomScaleNormal="70" workbookViewId="0">
      <pane ySplit="1" topLeftCell="A2" activePane="bottomLeft" state="frozen"/>
      <selection pane="bottomLeft" activeCell="P1" sqref="P1"/>
    </sheetView>
  </sheetViews>
  <sheetFormatPr defaultColWidth="9.140625" defaultRowHeight="14.25"/>
  <cols>
    <col min="1" max="1" width="2.140625" style="61" customWidth="1"/>
    <col min="2" max="2" width="38.85546875" style="61" customWidth="1"/>
    <col min="3" max="3" width="13.7109375" style="85" customWidth="1"/>
    <col min="4" max="4" width="13.85546875" style="85" customWidth="1"/>
    <col min="5" max="5" width="16.28515625" style="85" customWidth="1"/>
    <col min="6" max="6" width="14.140625" style="85" customWidth="1"/>
    <col min="7" max="7" width="17.140625" style="85" customWidth="1"/>
    <col min="8" max="8" width="4.7109375" style="85" customWidth="1"/>
    <col min="9" max="9" width="40.140625" style="85" customWidth="1"/>
    <col min="10" max="14" width="17.140625" style="85" customWidth="1"/>
    <col min="15" max="15" width="4.7109375" style="85" customWidth="1"/>
    <col min="16" max="16" width="40.140625" style="85" customWidth="1"/>
    <col min="17" max="20" width="17.140625" style="85" customWidth="1"/>
    <col min="21" max="21" width="17.140625" style="95" customWidth="1"/>
    <col min="22" max="22" width="4.7109375" style="85" customWidth="1"/>
    <col min="23" max="23" width="55.28515625" style="85" customWidth="1"/>
    <col min="24" max="24" width="14.5703125" style="85" customWidth="1"/>
    <col min="25" max="27" width="17.140625" style="85" customWidth="1"/>
    <col min="28" max="28" width="17.140625" style="257" customWidth="1"/>
    <col min="29" max="32" width="9.140625" style="61" customWidth="1"/>
    <col min="33" max="16384" width="9.140625" style="61"/>
  </cols>
  <sheetData>
    <row r="1" spans="2:32" s="59" customFormat="1" ht="20.25">
      <c r="B1" s="67"/>
      <c r="C1" s="302" t="s">
        <v>14</v>
      </c>
      <c r="D1" s="58"/>
      <c r="E1" s="58"/>
      <c r="F1" s="58"/>
      <c r="G1" s="58"/>
      <c r="H1" s="303"/>
      <c r="I1" s="302" t="s">
        <v>15</v>
      </c>
      <c r="J1" s="304"/>
      <c r="K1" s="102"/>
      <c r="L1" s="102"/>
      <c r="M1" s="102"/>
      <c r="N1" s="102"/>
      <c r="O1" s="303"/>
      <c r="P1" s="102" t="s">
        <v>16</v>
      </c>
      <c r="Q1" s="102"/>
      <c r="R1" s="102"/>
      <c r="S1" s="102"/>
      <c r="T1" s="102"/>
      <c r="U1" s="90"/>
      <c r="V1" s="303"/>
      <c r="W1" s="102" t="s">
        <v>17</v>
      </c>
      <c r="X1" s="102"/>
      <c r="Y1" s="102"/>
      <c r="Z1" s="102"/>
      <c r="AA1" s="102"/>
      <c r="AB1" s="251"/>
    </row>
    <row r="2" spans="2:32" ht="15.75">
      <c r="B2" s="68"/>
      <c r="C2" s="60"/>
      <c r="D2" s="60"/>
      <c r="E2" s="60"/>
      <c r="F2" s="60"/>
      <c r="G2" s="60"/>
      <c r="I2" s="103"/>
      <c r="J2" s="103"/>
      <c r="K2" s="103"/>
      <c r="L2" s="103"/>
      <c r="M2" s="103"/>
      <c r="N2" s="103"/>
      <c r="P2" s="103"/>
      <c r="Q2" s="103"/>
      <c r="R2" s="103"/>
      <c r="S2" s="103"/>
      <c r="T2" s="103"/>
      <c r="U2" s="91"/>
      <c r="W2" s="103"/>
      <c r="X2" s="103"/>
      <c r="Y2" s="103"/>
      <c r="Z2" s="103"/>
      <c r="AA2" s="103"/>
      <c r="AB2" s="252"/>
    </row>
    <row r="3" spans="2:32" ht="15.75">
      <c r="B3" s="70" t="s">
        <v>18</v>
      </c>
      <c r="C3" s="194"/>
      <c r="D3" s="194"/>
      <c r="E3" s="194"/>
      <c r="F3" s="194"/>
      <c r="G3" s="195"/>
      <c r="I3" s="351" t="s">
        <v>18</v>
      </c>
      <c r="J3" s="194"/>
      <c r="K3" s="194"/>
      <c r="L3" s="194"/>
      <c r="M3" s="194"/>
      <c r="N3" s="195"/>
      <c r="P3" s="351" t="s">
        <v>18</v>
      </c>
      <c r="Q3" s="83"/>
      <c r="R3" s="83"/>
      <c r="S3" s="83"/>
      <c r="T3" s="83"/>
      <c r="U3" s="92"/>
      <c r="W3" s="351" t="s">
        <v>18</v>
      </c>
      <c r="X3" s="83"/>
      <c r="Y3" s="83"/>
      <c r="Z3" s="83"/>
      <c r="AA3" s="83"/>
      <c r="AB3" s="253"/>
    </row>
    <row r="4" spans="2:32" s="85" customFormat="1" ht="39" customHeight="1">
      <c r="B4" s="84" t="s">
        <v>24</v>
      </c>
      <c r="C4" s="84" t="s">
        <v>25</v>
      </c>
      <c r="D4" s="84" t="s">
        <v>19</v>
      </c>
      <c r="E4" s="84" t="s">
        <v>49</v>
      </c>
      <c r="F4" s="84" t="s">
        <v>30</v>
      </c>
      <c r="G4" s="84" t="s">
        <v>50</v>
      </c>
      <c r="I4" s="84" t="s">
        <v>24</v>
      </c>
      <c r="J4" s="84" t="s">
        <v>25</v>
      </c>
      <c r="K4" s="84" t="s">
        <v>19</v>
      </c>
      <c r="L4" s="84" t="s">
        <v>49</v>
      </c>
      <c r="M4" s="84" t="s">
        <v>30</v>
      </c>
      <c r="N4" s="84" t="s">
        <v>50</v>
      </c>
      <c r="P4" s="84" t="s">
        <v>24</v>
      </c>
      <c r="Q4" s="84" t="s">
        <v>25</v>
      </c>
      <c r="R4" s="84" t="s">
        <v>19</v>
      </c>
      <c r="S4" s="84" t="s">
        <v>49</v>
      </c>
      <c r="T4" s="84" t="s">
        <v>30</v>
      </c>
      <c r="U4" s="93" t="s">
        <v>50</v>
      </c>
      <c r="W4" s="84" t="s">
        <v>24</v>
      </c>
      <c r="X4" s="84" t="s">
        <v>25</v>
      </c>
      <c r="Y4" s="84" t="s">
        <v>19</v>
      </c>
      <c r="Z4" s="84" t="s">
        <v>49</v>
      </c>
      <c r="AA4" s="84" t="s">
        <v>30</v>
      </c>
      <c r="AB4" s="254" t="s">
        <v>50</v>
      </c>
    </row>
    <row r="5" spans="2:32" s="64" customFormat="1" ht="5.25" customHeight="1">
      <c r="B5" s="184"/>
      <c r="C5" s="196"/>
      <c r="D5" s="196"/>
      <c r="E5" s="196"/>
      <c r="F5" s="196"/>
      <c r="G5" s="196"/>
      <c r="H5" s="1"/>
      <c r="I5" s="196"/>
      <c r="J5" s="196"/>
      <c r="K5" s="196"/>
      <c r="L5" s="196"/>
      <c r="M5" s="196"/>
      <c r="N5" s="196"/>
      <c r="O5" s="1"/>
      <c r="P5" s="196"/>
      <c r="Q5" s="196"/>
      <c r="R5" s="196"/>
      <c r="S5" s="196"/>
      <c r="T5" s="196"/>
      <c r="U5" s="197"/>
      <c r="V5" s="1"/>
      <c r="W5" s="196"/>
      <c r="X5" s="196"/>
      <c r="Y5" s="196"/>
      <c r="Z5" s="196"/>
      <c r="AA5" s="196"/>
      <c r="AB5" s="255"/>
    </row>
    <row r="6" spans="2:32" ht="30.75" customHeight="1">
      <c r="B6" s="295" t="s">
        <v>46</v>
      </c>
      <c r="C6" s="305">
        <f>COUNTIF('1. ALL DATA'!$H$5:$H$123,"Fully Achieved")</f>
        <v>22</v>
      </c>
      <c r="D6" s="306">
        <f>C6/C20</f>
        <v>0.18803418803418803</v>
      </c>
      <c r="E6" s="478">
        <f>D6+D7</f>
        <v>0.7350427350427351</v>
      </c>
      <c r="F6" s="306">
        <f>C6/C21</f>
        <v>0.25287356321839083</v>
      </c>
      <c r="G6" s="481">
        <f>F6+F7</f>
        <v>0.9885057471264368</v>
      </c>
      <c r="I6" s="339" t="s">
        <v>46</v>
      </c>
      <c r="J6" s="305">
        <f>COUNTIF('1. ALL DATA'!$M$5:$M$123,"Fully Achieved")</f>
        <v>36</v>
      </c>
      <c r="K6" s="306">
        <f>J6/J20</f>
        <v>0.30769230769230771</v>
      </c>
      <c r="L6" s="478">
        <f>K6+K7</f>
        <v>0.88034188034188032</v>
      </c>
      <c r="M6" s="306">
        <f>J6/J21</f>
        <v>0.34615384615384615</v>
      </c>
      <c r="N6" s="481">
        <f>M6+M7</f>
        <v>0.99038461538461542</v>
      </c>
      <c r="P6" s="344" t="s">
        <v>46</v>
      </c>
      <c r="Q6" s="305">
        <f>COUNTIF('1. ALL DATA'!R5:R123,"Fully Achieved")</f>
        <v>54</v>
      </c>
      <c r="R6" s="306">
        <f>Q6/Q20</f>
        <v>0.46153846153846156</v>
      </c>
      <c r="S6" s="478">
        <f>R6+R7</f>
        <v>0.92307692307692313</v>
      </c>
      <c r="T6" s="306">
        <f>Q6/Q21</f>
        <v>0.48214285714285715</v>
      </c>
      <c r="U6" s="481">
        <f>T6+T7</f>
        <v>0.9642857142857143</v>
      </c>
      <c r="W6" s="344" t="s">
        <v>41</v>
      </c>
      <c r="X6" s="307">
        <f>COUNTIF('1. ALL DATA'!V5:V123,"Fully Achieved")</f>
        <v>0</v>
      </c>
      <c r="Y6" s="306">
        <f>X6/$X$20</f>
        <v>0</v>
      </c>
      <c r="Z6" s="478">
        <f>Y6+Y7</f>
        <v>0</v>
      </c>
      <c r="AA6" s="306" t="e">
        <f>X6/$X$21</f>
        <v>#DIV/0!</v>
      </c>
      <c r="AB6" s="481" t="e">
        <f>AA6+AA7</f>
        <v>#DIV/0!</v>
      </c>
    </row>
    <row r="7" spans="2:32" ht="30.75" customHeight="1">
      <c r="B7" s="295" t="s">
        <v>42</v>
      </c>
      <c r="C7" s="305">
        <f>COUNTIF('1. ALL DATA'!H5:H123,"On Track to be Achieved")</f>
        <v>64</v>
      </c>
      <c r="D7" s="306">
        <f>C7/C20</f>
        <v>0.54700854700854706</v>
      </c>
      <c r="E7" s="478"/>
      <c r="F7" s="306">
        <f>C7/C21</f>
        <v>0.73563218390804597</v>
      </c>
      <c r="G7" s="481"/>
      <c r="I7" s="339" t="s">
        <v>42</v>
      </c>
      <c r="J7" s="305">
        <f>COUNTIF('1. ALL DATA'!M5:M123,"On Track to be Achieved")</f>
        <v>67</v>
      </c>
      <c r="K7" s="306">
        <f>J7/J20</f>
        <v>0.57264957264957261</v>
      </c>
      <c r="L7" s="478"/>
      <c r="M7" s="306">
        <f>J7/J21</f>
        <v>0.64423076923076927</v>
      </c>
      <c r="N7" s="481"/>
      <c r="P7" s="344" t="s">
        <v>42</v>
      </c>
      <c r="Q7" s="305">
        <f>COUNTIF('1. ALL DATA'!R5:R123,"On Track to be Achieved")</f>
        <v>54</v>
      </c>
      <c r="R7" s="306">
        <f>Q7/Q20</f>
        <v>0.46153846153846156</v>
      </c>
      <c r="S7" s="478"/>
      <c r="T7" s="306">
        <f>Q7/Q21</f>
        <v>0.48214285714285715</v>
      </c>
      <c r="U7" s="481"/>
      <c r="W7" s="344" t="s">
        <v>83</v>
      </c>
      <c r="X7" s="307">
        <f>COUNTIF('1. ALL DATA'!V5:V123,"Numerical Outturn Within 5% Tolerance")</f>
        <v>0</v>
      </c>
      <c r="Y7" s="306">
        <f>X7/$X$20</f>
        <v>0</v>
      </c>
      <c r="Z7" s="478"/>
      <c r="AA7" s="306" t="e">
        <f>X7/$X$21</f>
        <v>#DIV/0!</v>
      </c>
      <c r="AB7" s="481"/>
    </row>
    <row r="8" spans="2:32" s="62" customFormat="1" ht="6" customHeight="1">
      <c r="B8" s="53"/>
      <c r="C8" s="308"/>
      <c r="D8" s="212"/>
      <c r="E8" s="212"/>
      <c r="F8" s="212"/>
      <c r="G8" s="54"/>
      <c r="H8" s="309"/>
      <c r="I8" s="340"/>
      <c r="J8" s="308"/>
      <c r="K8" s="212"/>
      <c r="L8" s="212"/>
      <c r="M8" s="212"/>
      <c r="N8" s="54"/>
      <c r="O8" s="309"/>
      <c r="P8" s="345"/>
      <c r="Q8" s="308"/>
      <c r="R8" s="212"/>
      <c r="S8" s="212"/>
      <c r="T8" s="212"/>
      <c r="U8" s="54"/>
      <c r="V8" s="309"/>
      <c r="W8" s="352"/>
      <c r="X8" s="56"/>
      <c r="Y8" s="212"/>
      <c r="Z8" s="212"/>
      <c r="AA8" s="212"/>
      <c r="AB8" s="54"/>
      <c r="AD8" s="64"/>
      <c r="AE8" s="64"/>
      <c r="AF8" s="64"/>
    </row>
    <row r="9" spans="2:32" ht="18.75" customHeight="1">
      <c r="B9" s="476" t="s">
        <v>27</v>
      </c>
      <c r="C9" s="477">
        <f>COUNTIF('1. ALL DATA'!H5:H123,"in danger of falling behind target")</f>
        <v>0</v>
      </c>
      <c r="D9" s="478">
        <f>C9/C20</f>
        <v>0</v>
      </c>
      <c r="E9" s="478">
        <f>D9</f>
        <v>0</v>
      </c>
      <c r="F9" s="478">
        <f>C9/C21</f>
        <v>0</v>
      </c>
      <c r="G9" s="479">
        <f>F9</f>
        <v>0</v>
      </c>
      <c r="I9" s="476" t="s">
        <v>27</v>
      </c>
      <c r="J9" s="477">
        <f>COUNTIF('1. ALL DATA'!M5:M123,"in danger of falling behind target")</f>
        <v>0</v>
      </c>
      <c r="K9" s="478">
        <f>J9/J20</f>
        <v>0</v>
      </c>
      <c r="L9" s="478">
        <f>K9</f>
        <v>0</v>
      </c>
      <c r="M9" s="478">
        <f>J9/J21</f>
        <v>0</v>
      </c>
      <c r="N9" s="479">
        <f>M9</f>
        <v>0</v>
      </c>
      <c r="P9" s="476" t="s">
        <v>27</v>
      </c>
      <c r="Q9" s="477">
        <f>COUNTIF('1. ALL DATA'!R5:R123,"in danger of falling behind target")</f>
        <v>3</v>
      </c>
      <c r="R9" s="478">
        <f>Q9/Q20</f>
        <v>2.564102564102564E-2</v>
      </c>
      <c r="S9" s="478">
        <f>R9</f>
        <v>2.564102564102564E-2</v>
      </c>
      <c r="T9" s="478">
        <f>Q9/Q21</f>
        <v>2.6785714285714284E-2</v>
      </c>
      <c r="U9" s="479">
        <f>T9</f>
        <v>2.6785714285714284E-2</v>
      </c>
      <c r="W9" s="346" t="s">
        <v>84</v>
      </c>
      <c r="X9" s="307">
        <f>COUNTIF('1. ALL DATA'!V5:V123,"Numerical Outturn Within 10% Tolerance")</f>
        <v>0</v>
      </c>
      <c r="Y9" s="306">
        <f>X9/$X$20</f>
        <v>0</v>
      </c>
      <c r="Z9" s="482">
        <f>SUM(Y9:Y11)</f>
        <v>0</v>
      </c>
      <c r="AA9" s="311" t="e">
        <f>X9/$X$21</f>
        <v>#DIV/0!</v>
      </c>
      <c r="AB9" s="479" t="e">
        <f>SUM(AA9:AA11)</f>
        <v>#DIV/0!</v>
      </c>
      <c r="AD9" s="262"/>
    </row>
    <row r="10" spans="2:32" ht="19.5" customHeight="1">
      <c r="B10" s="476"/>
      <c r="C10" s="477"/>
      <c r="D10" s="478"/>
      <c r="E10" s="478"/>
      <c r="F10" s="478"/>
      <c r="G10" s="479"/>
      <c r="I10" s="476"/>
      <c r="J10" s="477"/>
      <c r="K10" s="478"/>
      <c r="L10" s="478"/>
      <c r="M10" s="478"/>
      <c r="N10" s="479"/>
      <c r="P10" s="476"/>
      <c r="Q10" s="477"/>
      <c r="R10" s="478"/>
      <c r="S10" s="478"/>
      <c r="T10" s="478"/>
      <c r="U10" s="479"/>
      <c r="W10" s="346" t="s">
        <v>85</v>
      </c>
      <c r="X10" s="307">
        <f>COUNTIF('1. ALL DATA'!V5:V123,"Target Partially Met")</f>
        <v>0</v>
      </c>
      <c r="Y10" s="306">
        <f>X10/$X$20</f>
        <v>0</v>
      </c>
      <c r="Z10" s="483"/>
      <c r="AA10" s="311" t="e">
        <f>X10/$X$21</f>
        <v>#DIV/0!</v>
      </c>
      <c r="AB10" s="479"/>
      <c r="AD10" s="262"/>
    </row>
    <row r="11" spans="2:32" ht="19.5" customHeight="1">
      <c r="B11" s="476"/>
      <c r="C11" s="477"/>
      <c r="D11" s="478"/>
      <c r="E11" s="478"/>
      <c r="F11" s="478"/>
      <c r="G11" s="479"/>
      <c r="I11" s="476"/>
      <c r="J11" s="477"/>
      <c r="K11" s="478"/>
      <c r="L11" s="478"/>
      <c r="M11" s="478"/>
      <c r="N11" s="479"/>
      <c r="P11" s="476"/>
      <c r="Q11" s="477"/>
      <c r="R11" s="478"/>
      <c r="S11" s="478"/>
      <c r="T11" s="478"/>
      <c r="U11" s="479"/>
      <c r="W11" s="346" t="s">
        <v>87</v>
      </c>
      <c r="X11" s="307">
        <f>COUNTIF('1. ALL DATA'!V5:V123,"Completion Date Within Reasonable Tolerance")</f>
        <v>0</v>
      </c>
      <c r="Y11" s="306">
        <f>X11/$X$20</f>
        <v>0</v>
      </c>
      <c r="Z11" s="484"/>
      <c r="AA11" s="311" t="e">
        <f>X11/$X$21</f>
        <v>#DIV/0!</v>
      </c>
      <c r="AB11" s="479"/>
      <c r="AD11" s="262"/>
    </row>
    <row r="12" spans="2:32" s="64" customFormat="1" ht="6" customHeight="1">
      <c r="B12" s="184"/>
      <c r="C12" s="196"/>
      <c r="D12" s="299"/>
      <c r="E12" s="299"/>
      <c r="F12" s="299"/>
      <c r="G12" s="186"/>
      <c r="H12" s="1"/>
      <c r="I12" s="342"/>
      <c r="J12" s="196"/>
      <c r="K12" s="299"/>
      <c r="L12" s="299"/>
      <c r="M12" s="299"/>
      <c r="N12" s="186"/>
      <c r="O12" s="1"/>
      <c r="P12" s="347"/>
      <c r="Q12" s="196"/>
      <c r="R12" s="299"/>
      <c r="S12" s="299"/>
      <c r="T12" s="299"/>
      <c r="U12" s="186"/>
      <c r="V12" s="1"/>
      <c r="W12" s="352"/>
      <c r="X12" s="196"/>
      <c r="Y12" s="299"/>
      <c r="Z12" s="299"/>
      <c r="AA12" s="299"/>
      <c r="AB12" s="186"/>
      <c r="AD12" s="188"/>
    </row>
    <row r="13" spans="2:32" ht="29.25" customHeight="1">
      <c r="B13" s="389" t="s">
        <v>43</v>
      </c>
      <c r="C13" s="305">
        <f>COUNTIF('1. ALL DATA'!H5:H123,"completed behind schedule")</f>
        <v>1</v>
      </c>
      <c r="D13" s="306">
        <f>C13/C20</f>
        <v>8.5470085470085479E-3</v>
      </c>
      <c r="E13" s="478">
        <f>D13+D14</f>
        <v>8.5470085470085479E-3</v>
      </c>
      <c r="F13" s="306">
        <f>C13/C21</f>
        <v>1.1494252873563218E-2</v>
      </c>
      <c r="G13" s="480">
        <f>F13+F14</f>
        <v>1.1494252873563218E-2</v>
      </c>
      <c r="I13" s="390" t="s">
        <v>43</v>
      </c>
      <c r="J13" s="305">
        <f>COUNTIF('1. ALL DATA'!M5:M123,"completed behind schedule")</f>
        <v>1</v>
      </c>
      <c r="K13" s="306">
        <f>J13/J20</f>
        <v>8.5470085470085479E-3</v>
      </c>
      <c r="L13" s="478">
        <f>K13+K14</f>
        <v>8.5470085470085479E-3</v>
      </c>
      <c r="M13" s="306">
        <f>J13/J21</f>
        <v>9.6153846153846159E-3</v>
      </c>
      <c r="N13" s="480">
        <f>M13+M14</f>
        <v>9.6153846153846159E-3</v>
      </c>
      <c r="P13" s="391" t="s">
        <v>43</v>
      </c>
      <c r="Q13" s="305">
        <f>COUNTIF('1. ALL DATA'!R5:R123,"completed behind schedule")</f>
        <v>1</v>
      </c>
      <c r="R13" s="306">
        <f>Q13/Q20</f>
        <v>8.5470085470085479E-3</v>
      </c>
      <c r="S13" s="478">
        <f>R13+R14</f>
        <v>8.5470085470085479E-3</v>
      </c>
      <c r="T13" s="306">
        <f>Q13/Q21</f>
        <v>8.9285714285714281E-3</v>
      </c>
      <c r="U13" s="480">
        <f>T13+T14</f>
        <v>8.9285714285714281E-3</v>
      </c>
      <c r="W13" s="391" t="s">
        <v>86</v>
      </c>
      <c r="X13" s="312">
        <f>COUNTIF('1. ALL DATA'!V5:V123,"Completed Significantly After Target Deadline")</f>
        <v>0</v>
      </c>
      <c r="Y13" s="306">
        <f>X13/$X$20</f>
        <v>0</v>
      </c>
      <c r="Z13" s="478">
        <f>Y13+Y14</f>
        <v>0</v>
      </c>
      <c r="AA13" s="306" t="e">
        <f>X13/$X$21</f>
        <v>#DIV/0!</v>
      </c>
      <c r="AB13" s="480" t="e">
        <f>AA13+AA14</f>
        <v>#DIV/0!</v>
      </c>
    </row>
    <row r="14" spans="2:32" ht="29.25" customHeight="1">
      <c r="B14" s="389" t="s">
        <v>28</v>
      </c>
      <c r="C14" s="305">
        <f>COUNTIF('1. ALL DATA'!H5:H123,"off target")</f>
        <v>0</v>
      </c>
      <c r="D14" s="306">
        <f>C14/C20</f>
        <v>0</v>
      </c>
      <c r="E14" s="478"/>
      <c r="F14" s="306">
        <f>C14/C21</f>
        <v>0</v>
      </c>
      <c r="G14" s="480"/>
      <c r="I14" s="390" t="s">
        <v>28</v>
      </c>
      <c r="J14" s="305">
        <f>COUNTIF('1. ALL DATA'!M5:M123,"off target")</f>
        <v>0</v>
      </c>
      <c r="K14" s="306">
        <f>J14/J20</f>
        <v>0</v>
      </c>
      <c r="L14" s="478"/>
      <c r="M14" s="306">
        <f>J14/J21</f>
        <v>0</v>
      </c>
      <c r="N14" s="480"/>
      <c r="P14" s="391" t="s">
        <v>28</v>
      </c>
      <c r="Q14" s="305">
        <f>COUNTIF('1. ALL DATA'!R5:R123,"off target")</f>
        <v>0</v>
      </c>
      <c r="R14" s="306">
        <f>Q14/Q20</f>
        <v>0</v>
      </c>
      <c r="S14" s="478"/>
      <c r="T14" s="306">
        <f>Q14/Q21</f>
        <v>0</v>
      </c>
      <c r="U14" s="480"/>
      <c r="W14" s="391" t="s">
        <v>28</v>
      </c>
      <c r="X14" s="312">
        <f>COUNTIF('1. ALL DATA'!V5:V123,"off target")</f>
        <v>0</v>
      </c>
      <c r="Y14" s="306">
        <f>X14/$X$20</f>
        <v>0</v>
      </c>
      <c r="Z14" s="478"/>
      <c r="AA14" s="306" t="e">
        <f>X14/$X$21</f>
        <v>#DIV/0!</v>
      </c>
      <c r="AB14" s="480"/>
    </row>
    <row r="15" spans="2:32" s="64" customFormat="1" ht="7.5" customHeight="1">
      <c r="B15" s="184"/>
      <c r="C15" s="313"/>
      <c r="D15" s="299"/>
      <c r="E15" s="299"/>
      <c r="F15" s="299"/>
      <c r="G15" s="190"/>
      <c r="H15" s="1"/>
      <c r="I15" s="342"/>
      <c r="J15" s="313"/>
      <c r="K15" s="299"/>
      <c r="L15" s="299"/>
      <c r="M15" s="299"/>
      <c r="N15" s="190"/>
      <c r="O15" s="1"/>
      <c r="P15" s="196"/>
      <c r="Q15" s="313"/>
      <c r="R15" s="299"/>
      <c r="S15" s="299"/>
      <c r="T15" s="299"/>
      <c r="U15" s="190"/>
      <c r="V15" s="1"/>
      <c r="W15" s="314"/>
      <c r="X15" s="314"/>
      <c r="Y15" s="315"/>
      <c r="Z15" s="315"/>
      <c r="AA15" s="316"/>
      <c r="AB15" s="256"/>
    </row>
    <row r="16" spans="2:32" ht="20.25" customHeight="1">
      <c r="B16" s="48" t="s">
        <v>2</v>
      </c>
      <c r="C16" s="317">
        <f>COUNTIF('1. ALL DATA'!H5:H123,"not yet due")</f>
        <v>29</v>
      </c>
      <c r="D16" s="300">
        <f>C16/C20</f>
        <v>0.24786324786324787</v>
      </c>
      <c r="E16" s="300">
        <f>D16</f>
        <v>0.24786324786324787</v>
      </c>
      <c r="F16" s="51"/>
      <c r="G16" s="47"/>
      <c r="I16" s="332" t="s">
        <v>2</v>
      </c>
      <c r="J16" s="317">
        <f>COUNTIF('1. ALL DATA'!M5:M123,"not yet due")</f>
        <v>12</v>
      </c>
      <c r="K16" s="300">
        <f>J16/J20</f>
        <v>0.10256410256410256</v>
      </c>
      <c r="L16" s="300">
        <f>K16</f>
        <v>0.10256410256410256</v>
      </c>
      <c r="M16" s="51"/>
      <c r="N16" s="47"/>
      <c r="P16" s="332" t="s">
        <v>2</v>
      </c>
      <c r="Q16" s="317">
        <f>COUNTIF('1. ALL DATA'!R5:R123,"not yet due")</f>
        <v>4</v>
      </c>
      <c r="R16" s="300">
        <f>Q16/Q20</f>
        <v>3.4188034188034191E-2</v>
      </c>
      <c r="S16" s="300">
        <f>R16</f>
        <v>3.4188034188034191E-2</v>
      </c>
      <c r="T16" s="51"/>
      <c r="U16" s="99"/>
      <c r="W16" s="336" t="s">
        <v>2</v>
      </c>
      <c r="X16" s="312">
        <f>COUNTIF('1. ALL DATA'!V5:V123,"not yet due")</f>
        <v>0</v>
      </c>
      <c r="Y16" s="300">
        <f>X16/$X$20</f>
        <v>0</v>
      </c>
      <c r="Z16" s="300">
        <f>Y16</f>
        <v>0</v>
      </c>
      <c r="AA16" s="330"/>
      <c r="AB16" s="331"/>
    </row>
    <row r="17" spans="2:30" ht="20.25" customHeight="1">
      <c r="B17" s="48" t="s">
        <v>47</v>
      </c>
      <c r="C17" s="317">
        <f>COUNTIF('1. ALL DATA'!H5:H123,"update not provided")</f>
        <v>0</v>
      </c>
      <c r="D17" s="300">
        <f>C17/C20</f>
        <v>0</v>
      </c>
      <c r="E17" s="300">
        <f>D17</f>
        <v>0</v>
      </c>
      <c r="F17" s="51"/>
      <c r="G17" s="104"/>
      <c r="I17" s="332" t="s">
        <v>47</v>
      </c>
      <c r="J17" s="317">
        <f>COUNTIF('1. ALL DATA'!M5:M123,"update not provided")</f>
        <v>0</v>
      </c>
      <c r="K17" s="300">
        <f>J17/J20</f>
        <v>0</v>
      </c>
      <c r="L17" s="300">
        <f>K17</f>
        <v>0</v>
      </c>
      <c r="M17" s="51"/>
      <c r="N17" s="104"/>
      <c r="P17" s="332" t="s">
        <v>47</v>
      </c>
      <c r="Q17" s="317">
        <f>COUNTIF('1. ALL DATA'!R5:R123,"update not provided")</f>
        <v>0</v>
      </c>
      <c r="R17" s="300">
        <f>Q17/Q20</f>
        <v>0</v>
      </c>
      <c r="S17" s="300">
        <f>R17</f>
        <v>0</v>
      </c>
      <c r="T17" s="51"/>
      <c r="U17" s="100"/>
      <c r="W17" s="337" t="s">
        <v>47</v>
      </c>
      <c r="X17" s="312">
        <f>COUNTIF('1. ALL DATA'!V5:V123,"update not provided")</f>
        <v>117</v>
      </c>
      <c r="Y17" s="300">
        <f>X17/$X$20</f>
        <v>1</v>
      </c>
      <c r="Z17" s="300">
        <f>Y17</f>
        <v>1</v>
      </c>
      <c r="AA17" s="330"/>
    </row>
    <row r="18" spans="2:30" ht="15.75" customHeight="1">
      <c r="B18" s="49" t="s">
        <v>23</v>
      </c>
      <c r="C18" s="317">
        <f>COUNTIF('1. ALL DATA'!H5:H123,"deferred")</f>
        <v>0</v>
      </c>
      <c r="D18" s="301">
        <f>C18/C20</f>
        <v>0</v>
      </c>
      <c r="E18" s="301">
        <f>D18</f>
        <v>0</v>
      </c>
      <c r="F18" s="46"/>
      <c r="G18" s="47"/>
      <c r="I18" s="333" t="s">
        <v>23</v>
      </c>
      <c r="J18" s="317">
        <f>COUNTIF('1. ALL DATA'!M5:M123,"deferred")</f>
        <v>0</v>
      </c>
      <c r="K18" s="301">
        <f>J18/J20</f>
        <v>0</v>
      </c>
      <c r="L18" s="301">
        <f>K18</f>
        <v>0</v>
      </c>
      <c r="M18" s="46"/>
      <c r="N18" s="47"/>
      <c r="P18" s="333" t="s">
        <v>23</v>
      </c>
      <c r="Q18" s="317">
        <f>COUNTIF('1. ALL DATA'!R5:R123,"deferred")</f>
        <v>0</v>
      </c>
      <c r="R18" s="301">
        <f>Q18/Q20</f>
        <v>0</v>
      </c>
      <c r="S18" s="301">
        <f>R18</f>
        <v>0</v>
      </c>
      <c r="T18" s="46"/>
      <c r="U18" s="99"/>
      <c r="W18" s="333" t="s">
        <v>23</v>
      </c>
      <c r="X18" s="312">
        <f>COUNTIF('1. ALL DATA'!V5:V123,"deferred")</f>
        <v>0</v>
      </c>
      <c r="Y18" s="301">
        <f>X18/$X$20</f>
        <v>0</v>
      </c>
      <c r="Z18" s="301">
        <f>Y18</f>
        <v>0</v>
      </c>
      <c r="AA18" s="330"/>
      <c r="AB18" s="258"/>
      <c r="AD18" s="262"/>
    </row>
    <row r="19" spans="2:30" ht="15.75" customHeight="1">
      <c r="B19" s="49" t="s">
        <v>29</v>
      </c>
      <c r="C19" s="317">
        <f>COUNTIF('1. ALL DATA'!H6:H123,"deleted")</f>
        <v>1</v>
      </c>
      <c r="D19" s="318">
        <f>C19/C20</f>
        <v>8.5470085470085479E-3</v>
      </c>
      <c r="E19" s="301">
        <f>D19</f>
        <v>8.5470085470085479E-3</v>
      </c>
      <c r="F19" s="46"/>
      <c r="G19" s="259" t="s">
        <v>63</v>
      </c>
      <c r="I19" s="333" t="s">
        <v>29</v>
      </c>
      <c r="J19" s="317">
        <f>COUNTIF('1. ALL DATA'!M6:M123,"deleted")</f>
        <v>1</v>
      </c>
      <c r="K19" s="301">
        <f>J19/J20</f>
        <v>8.5470085470085479E-3</v>
      </c>
      <c r="L19" s="301">
        <f>K19</f>
        <v>8.5470085470085479E-3</v>
      </c>
      <c r="M19" s="46"/>
      <c r="N19" s="259" t="s">
        <v>63</v>
      </c>
      <c r="P19" s="333" t="s">
        <v>29</v>
      </c>
      <c r="Q19" s="317">
        <f>COUNTIF('1. ALL DATA'!R5:R123,"deleted")</f>
        <v>1</v>
      </c>
      <c r="R19" s="301">
        <f>Q19/Q20</f>
        <v>8.5470085470085479E-3</v>
      </c>
      <c r="S19" s="301">
        <f>R19</f>
        <v>8.5470085470085479E-3</v>
      </c>
      <c r="T19" s="46"/>
      <c r="U19" s="259" t="s">
        <v>63</v>
      </c>
      <c r="W19" s="333" t="s">
        <v>29</v>
      </c>
      <c r="X19" s="312">
        <f>COUNTIF('1. ALL DATA'!V5:V123,"deleted")</f>
        <v>0</v>
      </c>
      <c r="Y19" s="301">
        <f>X19/$X$20</f>
        <v>0</v>
      </c>
      <c r="Z19" s="301">
        <f>Y19</f>
        <v>0</v>
      </c>
      <c r="AA19" s="330"/>
      <c r="AB19" s="259" t="s">
        <v>63</v>
      </c>
    </row>
    <row r="20" spans="2:30" ht="15.75" customHeight="1">
      <c r="B20" s="50" t="s">
        <v>31</v>
      </c>
      <c r="C20" s="319">
        <f>SUM(C6:C19)</f>
        <v>117</v>
      </c>
      <c r="D20" s="46"/>
      <c r="E20" s="46"/>
      <c r="F20" s="47"/>
      <c r="G20" s="47"/>
      <c r="I20" s="334" t="s">
        <v>31</v>
      </c>
      <c r="J20" s="319">
        <f>SUM(J6:J19)</f>
        <v>117</v>
      </c>
      <c r="K20" s="46"/>
      <c r="L20" s="46"/>
      <c r="M20" s="47"/>
      <c r="N20" s="47"/>
      <c r="P20" s="334" t="s">
        <v>31</v>
      </c>
      <c r="Q20" s="319">
        <f>SUM(Q6:Q19)</f>
        <v>117</v>
      </c>
      <c r="R20" s="46"/>
      <c r="S20" s="46"/>
      <c r="T20" s="47"/>
      <c r="U20" s="99"/>
      <c r="W20" s="334" t="s">
        <v>31</v>
      </c>
      <c r="X20" s="320">
        <f>SUM(X6:X19)</f>
        <v>117</v>
      </c>
      <c r="Y20" s="46"/>
      <c r="Z20" s="46"/>
      <c r="AA20" s="330"/>
      <c r="AB20" s="258"/>
    </row>
    <row r="21" spans="2:30" ht="15.75" customHeight="1">
      <c r="B21" s="50" t="s">
        <v>32</v>
      </c>
      <c r="C21" s="319">
        <f>C20-C19-C18-C17-C16</f>
        <v>87</v>
      </c>
      <c r="D21" s="47"/>
      <c r="E21" s="47"/>
      <c r="F21" s="47"/>
      <c r="G21" s="47"/>
      <c r="I21" s="334" t="s">
        <v>32</v>
      </c>
      <c r="J21" s="319">
        <f>J20-J19-J18-J17-J16</f>
        <v>104</v>
      </c>
      <c r="K21" s="47"/>
      <c r="L21" s="47"/>
      <c r="M21" s="47"/>
      <c r="N21" s="47"/>
      <c r="P21" s="334" t="s">
        <v>32</v>
      </c>
      <c r="Q21" s="319">
        <f>Q20-Q19-Q18-Q17-Q16</f>
        <v>112</v>
      </c>
      <c r="R21" s="47"/>
      <c r="S21" s="47"/>
      <c r="T21" s="47"/>
      <c r="U21" s="99"/>
      <c r="W21" s="334" t="s">
        <v>32</v>
      </c>
      <c r="X21" s="320">
        <f>X20-X19-X18-X17-X16</f>
        <v>0</v>
      </c>
      <c r="Y21" s="47"/>
      <c r="Z21" s="47"/>
      <c r="AA21" s="330"/>
      <c r="AB21" s="258"/>
      <c r="AD21" s="262"/>
    </row>
    <row r="22" spans="2:30" ht="15.75" customHeight="1">
      <c r="W22" s="335"/>
      <c r="AA22" s="330"/>
      <c r="AD22" s="262"/>
    </row>
    <row r="23" spans="2:30" ht="15.75" customHeight="1">
      <c r="AA23" s="330"/>
    </row>
    <row r="24" spans="2:30" ht="15" customHeight="1">
      <c r="AA24" s="330"/>
    </row>
    <row r="25" spans="2:30" ht="19.5" customHeight="1">
      <c r="B25" s="199" t="s">
        <v>232</v>
      </c>
      <c r="C25" s="200"/>
      <c r="D25" s="200"/>
      <c r="E25" s="200"/>
      <c r="F25" s="194"/>
      <c r="G25" s="201"/>
      <c r="I25" s="343" t="s">
        <v>232</v>
      </c>
      <c r="J25" s="350"/>
      <c r="K25" s="350"/>
      <c r="L25" s="350"/>
      <c r="M25" s="194"/>
      <c r="N25" s="195"/>
      <c r="P25" s="348" t="s">
        <v>232</v>
      </c>
      <c r="Q25" s="349"/>
      <c r="R25" s="349"/>
      <c r="S25" s="349"/>
      <c r="T25" s="83"/>
      <c r="U25" s="92"/>
      <c r="W25" s="348" t="s">
        <v>232</v>
      </c>
      <c r="X25" s="83"/>
      <c r="Y25" s="83"/>
      <c r="Z25" s="83"/>
      <c r="AA25" s="83"/>
      <c r="AB25" s="253"/>
    </row>
    <row r="26" spans="2:30" ht="42" customHeight="1">
      <c r="B26" s="71" t="s">
        <v>24</v>
      </c>
      <c r="C26" s="84" t="s">
        <v>25</v>
      </c>
      <c r="D26" s="84" t="s">
        <v>19</v>
      </c>
      <c r="E26" s="84" t="s">
        <v>49</v>
      </c>
      <c r="F26" s="84" t="s">
        <v>30</v>
      </c>
      <c r="G26" s="84" t="s">
        <v>50</v>
      </c>
      <c r="I26" s="84" t="s">
        <v>24</v>
      </c>
      <c r="J26" s="84" t="s">
        <v>25</v>
      </c>
      <c r="K26" s="84" t="s">
        <v>19</v>
      </c>
      <c r="L26" s="84" t="s">
        <v>49</v>
      </c>
      <c r="M26" s="84" t="s">
        <v>30</v>
      </c>
      <c r="N26" s="84" t="s">
        <v>50</v>
      </c>
      <c r="P26" s="84" t="s">
        <v>24</v>
      </c>
      <c r="Q26" s="84" t="s">
        <v>25</v>
      </c>
      <c r="R26" s="84" t="s">
        <v>19</v>
      </c>
      <c r="S26" s="84" t="s">
        <v>49</v>
      </c>
      <c r="T26" s="84" t="s">
        <v>30</v>
      </c>
      <c r="U26" s="93" t="s">
        <v>50</v>
      </c>
      <c r="W26" s="84" t="s">
        <v>24</v>
      </c>
      <c r="X26" s="84" t="s">
        <v>25</v>
      </c>
      <c r="Y26" s="84" t="s">
        <v>19</v>
      </c>
      <c r="Z26" s="84" t="s">
        <v>49</v>
      </c>
      <c r="AA26" s="84" t="s">
        <v>30</v>
      </c>
      <c r="AB26" s="254" t="s">
        <v>50</v>
      </c>
    </row>
    <row r="27" spans="2:30" s="64" customFormat="1" ht="6" customHeight="1">
      <c r="B27" s="184"/>
      <c r="C27" s="196"/>
      <c r="D27" s="196"/>
      <c r="E27" s="196"/>
      <c r="F27" s="196"/>
      <c r="G27" s="196"/>
      <c r="H27" s="1"/>
      <c r="I27" s="196"/>
      <c r="J27" s="196"/>
      <c r="K27" s="196"/>
      <c r="L27" s="196"/>
      <c r="M27" s="196"/>
      <c r="N27" s="196"/>
      <c r="O27" s="1"/>
      <c r="P27" s="196"/>
      <c r="Q27" s="196"/>
      <c r="R27" s="196"/>
      <c r="S27" s="196"/>
      <c r="T27" s="196"/>
      <c r="U27" s="197"/>
      <c r="V27" s="1"/>
      <c r="W27" s="196"/>
      <c r="X27" s="196"/>
      <c r="Y27" s="310"/>
      <c r="Z27" s="196"/>
      <c r="AA27" s="196"/>
      <c r="AB27" s="255"/>
    </row>
    <row r="28" spans="2:30" ht="21.75" customHeight="1">
      <c r="B28" s="295" t="s">
        <v>46</v>
      </c>
      <c r="C28" s="305">
        <f>COUNTIFS('1. ALL DATA'!$X$5:$X$123,"Value For Money Council Services",'1. ALL DATA'!$H$5:$H$123,"Fully Achieved")</f>
        <v>13</v>
      </c>
      <c r="D28" s="306">
        <f>C28/C42</f>
        <v>0.22033898305084745</v>
      </c>
      <c r="E28" s="478">
        <f>D28+D29</f>
        <v>0.72881355932203384</v>
      </c>
      <c r="F28" s="306">
        <f>C28/C43</f>
        <v>0.30232558139534882</v>
      </c>
      <c r="G28" s="481">
        <f>F28+F29</f>
        <v>1</v>
      </c>
      <c r="I28" s="339" t="s">
        <v>46</v>
      </c>
      <c r="J28" s="305">
        <f>COUNTIFS('1. ALL DATA'!$X$5:$X$123,"Value For Money Council Services",'1. ALL DATA'!$M$5:$M$123,"Fully Achieved")</f>
        <v>19</v>
      </c>
      <c r="K28" s="306">
        <f>J28/J42</f>
        <v>0.32203389830508472</v>
      </c>
      <c r="L28" s="478">
        <f>K28+K29</f>
        <v>0.89830508474576276</v>
      </c>
      <c r="M28" s="306">
        <f>J28/J43</f>
        <v>0.35849056603773582</v>
      </c>
      <c r="N28" s="481">
        <f>M28+M29</f>
        <v>1</v>
      </c>
      <c r="P28" s="344" t="s">
        <v>46</v>
      </c>
      <c r="Q28" s="305">
        <f>COUNTIFS('1. ALL DATA'!$X$5:$X$123,"Value For Money Council Services",'1. ALL DATA'!$R$5:$R$123,"Fully Achieved")</f>
        <v>30</v>
      </c>
      <c r="R28" s="306">
        <f>Q28/Q42</f>
        <v>0.50847457627118642</v>
      </c>
      <c r="S28" s="478">
        <f>R28+R29</f>
        <v>0.94915254237288127</v>
      </c>
      <c r="T28" s="306">
        <f>Q28/Q43</f>
        <v>0.52631578947368418</v>
      </c>
      <c r="U28" s="481">
        <f>T28+T29</f>
        <v>0.98245614035087714</v>
      </c>
      <c r="W28" s="344" t="s">
        <v>41</v>
      </c>
      <c r="X28" s="307">
        <f>COUNTIFS('1. ALL DATA'!$X$5:$X$123,"Value For Money Council Services",'1. ALL DATA'!$V$5:$V$123,"Fully Achieved")</f>
        <v>0</v>
      </c>
      <c r="Y28" s="403">
        <f>X28/$X$42</f>
        <v>0</v>
      </c>
      <c r="Z28" s="478">
        <f>Y28+Y29</f>
        <v>0</v>
      </c>
      <c r="AA28" s="306" t="e">
        <f>X28/$X$43</f>
        <v>#DIV/0!</v>
      </c>
      <c r="AB28" s="481" t="e">
        <f>AA28+AA29</f>
        <v>#DIV/0!</v>
      </c>
    </row>
    <row r="29" spans="2:30" ht="18.75" customHeight="1">
      <c r="B29" s="295" t="s">
        <v>42</v>
      </c>
      <c r="C29" s="305">
        <f>COUNTIFS('1. ALL DATA'!$X$5:$X$123,"Value For Money Council Services",'1. ALL DATA'!$H$5:$H$123,"On track to be achieved")</f>
        <v>30</v>
      </c>
      <c r="D29" s="306">
        <f>C29/C42</f>
        <v>0.50847457627118642</v>
      </c>
      <c r="E29" s="478"/>
      <c r="F29" s="306">
        <f>C29/C43</f>
        <v>0.69767441860465118</v>
      </c>
      <c r="G29" s="481"/>
      <c r="I29" s="339" t="s">
        <v>42</v>
      </c>
      <c r="J29" s="305">
        <f>COUNTIFS('1. ALL DATA'!$X$5:$X$123,"Value For Money Council Services",'1. ALL DATA'!$M$5:$M$123,"On track to be achieved")</f>
        <v>34</v>
      </c>
      <c r="K29" s="306">
        <f>J29/J42</f>
        <v>0.57627118644067798</v>
      </c>
      <c r="L29" s="478"/>
      <c r="M29" s="306">
        <f>J29/J43</f>
        <v>0.64150943396226412</v>
      </c>
      <c r="N29" s="481"/>
      <c r="P29" s="344" t="s">
        <v>42</v>
      </c>
      <c r="Q29" s="305">
        <f>COUNTIFS('1. ALL DATA'!$X$5:$X$123,"Value For Money Council Services",'1. ALL DATA'!$R$5:$R$123,"On track to be achieved")</f>
        <v>26</v>
      </c>
      <c r="R29" s="306">
        <f>Q29/Q42</f>
        <v>0.44067796610169491</v>
      </c>
      <c r="S29" s="478"/>
      <c r="T29" s="306">
        <f>Q29/Q43</f>
        <v>0.45614035087719296</v>
      </c>
      <c r="U29" s="481"/>
      <c r="W29" s="344" t="s">
        <v>83</v>
      </c>
      <c r="X29" s="312">
        <f>COUNTIFS('1. ALL DATA'!$X$5:$X$123,"Value For Money Council Services",'1. ALL DATA'!$V$5:$V$123,"Numerical Outturn Within 5% Tolerance")</f>
        <v>0</v>
      </c>
      <c r="Y29" s="403">
        <f>X29/$X$42</f>
        <v>0</v>
      </c>
      <c r="Z29" s="478"/>
      <c r="AA29" s="306" t="e">
        <f>X29/$X$43</f>
        <v>#DIV/0!</v>
      </c>
      <c r="AB29" s="481"/>
    </row>
    <row r="30" spans="2:30" s="64" customFormat="1" ht="6" customHeight="1">
      <c r="B30" s="53"/>
      <c r="C30" s="313"/>
      <c r="D30" s="299"/>
      <c r="E30" s="299"/>
      <c r="F30" s="299"/>
      <c r="G30" s="54"/>
      <c r="H30" s="1"/>
      <c r="I30" s="340"/>
      <c r="J30" s="313"/>
      <c r="K30" s="299"/>
      <c r="L30" s="299"/>
      <c r="M30" s="299"/>
      <c r="N30" s="54"/>
      <c r="O30" s="1"/>
      <c r="P30" s="345"/>
      <c r="Q30" s="313"/>
      <c r="R30" s="299"/>
      <c r="S30" s="299"/>
      <c r="T30" s="299"/>
      <c r="U30" s="54"/>
      <c r="V30" s="1"/>
      <c r="W30" s="352"/>
      <c r="X30" s="196"/>
      <c r="Y30" s="56"/>
      <c r="Z30" s="299"/>
      <c r="AA30" s="299"/>
      <c r="AB30" s="54"/>
    </row>
    <row r="31" spans="2:30" ht="21" customHeight="1">
      <c r="B31" s="476" t="s">
        <v>27</v>
      </c>
      <c r="C31" s="477">
        <f>COUNTIFS('1. ALL DATA'!$X$5:$X$123,"Value For Money Council Services",'1. ALL DATA'!$H$5:$H$123,"In danger of falling behind target")</f>
        <v>0</v>
      </c>
      <c r="D31" s="478">
        <f>C31/C42</f>
        <v>0</v>
      </c>
      <c r="E31" s="478">
        <f>D31</f>
        <v>0</v>
      </c>
      <c r="F31" s="478">
        <f>C31/C43</f>
        <v>0</v>
      </c>
      <c r="G31" s="479">
        <f>F31</f>
        <v>0</v>
      </c>
      <c r="I31" s="476" t="s">
        <v>27</v>
      </c>
      <c r="J31" s="477">
        <f>COUNTIFS('1. ALL DATA'!$X$5:$X$123,"Value For Money Council Services",'1. ALL DATA'!$M$5:$M$123,"In danger of falling behind target")</f>
        <v>0</v>
      </c>
      <c r="K31" s="478">
        <f>J31/J42</f>
        <v>0</v>
      </c>
      <c r="L31" s="478">
        <f>K31</f>
        <v>0</v>
      </c>
      <c r="M31" s="478">
        <f>J31/J43</f>
        <v>0</v>
      </c>
      <c r="N31" s="479">
        <f>M31</f>
        <v>0</v>
      </c>
      <c r="P31" s="476" t="s">
        <v>27</v>
      </c>
      <c r="Q31" s="477">
        <f>COUNTIFS('1. ALL DATA'!$X$5:$X$123,"Value For Money Council Services",'1. ALL DATA'!$R$5:$R$123,"In danger of falling behind target")</f>
        <v>1</v>
      </c>
      <c r="R31" s="478">
        <f>Q31/Q42</f>
        <v>1.6949152542372881E-2</v>
      </c>
      <c r="S31" s="478">
        <f>R31</f>
        <v>1.6949152542372881E-2</v>
      </c>
      <c r="T31" s="478">
        <f>Q31/Q43</f>
        <v>1.7543859649122806E-2</v>
      </c>
      <c r="U31" s="479">
        <f>T31</f>
        <v>1.7543859649122806E-2</v>
      </c>
      <c r="W31" s="346" t="s">
        <v>84</v>
      </c>
      <c r="X31" s="312">
        <f>COUNTIFS('1. ALL DATA'!$X$5:$X$123,"Value For Money Council Services",'1. ALL DATA'!$V$5:$V$123,"Numerical Outturn within 10% Tolerance")</f>
        <v>0</v>
      </c>
      <c r="Y31" s="403">
        <f>X31/$X$42</f>
        <v>0</v>
      </c>
      <c r="Z31" s="478">
        <f>SUM(Y31:Y33)</f>
        <v>0</v>
      </c>
      <c r="AA31" s="311" t="e">
        <f>X31/$X$43</f>
        <v>#DIV/0!</v>
      </c>
      <c r="AB31" s="479" t="e">
        <f>SUM(AA31:AA33)</f>
        <v>#DIV/0!</v>
      </c>
    </row>
    <row r="32" spans="2:30" ht="20.25" customHeight="1">
      <c r="B32" s="476"/>
      <c r="C32" s="477"/>
      <c r="D32" s="478"/>
      <c r="E32" s="478"/>
      <c r="F32" s="478"/>
      <c r="G32" s="479"/>
      <c r="I32" s="476"/>
      <c r="J32" s="477"/>
      <c r="K32" s="478"/>
      <c r="L32" s="478"/>
      <c r="M32" s="478"/>
      <c r="N32" s="479"/>
      <c r="P32" s="476"/>
      <c r="Q32" s="477"/>
      <c r="R32" s="478"/>
      <c r="S32" s="478"/>
      <c r="T32" s="478"/>
      <c r="U32" s="479"/>
      <c r="W32" s="346" t="s">
        <v>85</v>
      </c>
      <c r="X32" s="312">
        <f>COUNTIFS('1. ALL DATA'!$X$5:$X$123,"Value For Money Council Services",'1. ALL DATA'!$V$5:$V$123,"Target Partially Met")</f>
        <v>0</v>
      </c>
      <c r="Y32" s="403">
        <f>X32/$X$42</f>
        <v>0</v>
      </c>
      <c r="Z32" s="478"/>
      <c r="AA32" s="311" t="e">
        <f>X32/$X$43</f>
        <v>#DIV/0!</v>
      </c>
      <c r="AB32" s="479"/>
    </row>
    <row r="33" spans="2:28" ht="18.75" customHeight="1">
      <c r="B33" s="476"/>
      <c r="C33" s="477"/>
      <c r="D33" s="478"/>
      <c r="E33" s="478"/>
      <c r="F33" s="478"/>
      <c r="G33" s="479"/>
      <c r="I33" s="476"/>
      <c r="J33" s="477"/>
      <c r="K33" s="478"/>
      <c r="L33" s="478"/>
      <c r="M33" s="478"/>
      <c r="N33" s="479"/>
      <c r="P33" s="476"/>
      <c r="Q33" s="477"/>
      <c r="R33" s="478"/>
      <c r="S33" s="478"/>
      <c r="T33" s="478"/>
      <c r="U33" s="479"/>
      <c r="W33" s="346" t="s">
        <v>87</v>
      </c>
      <c r="X33" s="312">
        <f>COUNTIFS('1. ALL DATA'!$X$5:$X$123,"Value For Money Council Services",'1. ALL DATA'!$V$5:$V$123,"Completion Date Within Reasonable Tolerance")</f>
        <v>0</v>
      </c>
      <c r="Y33" s="403">
        <f>X33/$X$42</f>
        <v>0</v>
      </c>
      <c r="Z33" s="478"/>
      <c r="AA33" s="311" t="e">
        <f>X33/$X$43</f>
        <v>#DIV/0!</v>
      </c>
      <c r="AB33" s="479"/>
    </row>
    <row r="34" spans="2:28" s="64" customFormat="1" ht="6" customHeight="1">
      <c r="B34" s="184"/>
      <c r="C34" s="196"/>
      <c r="D34" s="299"/>
      <c r="E34" s="299"/>
      <c r="F34" s="299"/>
      <c r="G34" s="186"/>
      <c r="H34" s="1"/>
      <c r="I34" s="342"/>
      <c r="J34" s="196"/>
      <c r="K34" s="299"/>
      <c r="L34" s="299"/>
      <c r="M34" s="299"/>
      <c r="N34" s="186"/>
      <c r="O34" s="1"/>
      <c r="P34" s="347"/>
      <c r="Q34" s="196"/>
      <c r="R34" s="299"/>
      <c r="S34" s="299"/>
      <c r="T34" s="299"/>
      <c r="U34" s="186"/>
      <c r="V34" s="1"/>
      <c r="W34" s="352"/>
      <c r="X34" s="196"/>
      <c r="Y34" s="212"/>
      <c r="Z34" s="299"/>
      <c r="AA34" s="299"/>
      <c r="AB34" s="186"/>
    </row>
    <row r="35" spans="2:28" ht="20.25" customHeight="1">
      <c r="B35" s="389" t="s">
        <v>43</v>
      </c>
      <c r="C35" s="305">
        <f>COUNTIFS('1. ALL DATA'!$X$5:$X$123,"Value For Money Council Services",'1. ALL DATA'!$H$5:$H$123,"Completed behind schedule")</f>
        <v>0</v>
      </c>
      <c r="D35" s="306">
        <f>C35/C42</f>
        <v>0</v>
      </c>
      <c r="E35" s="478">
        <f>D35+D36</f>
        <v>0</v>
      </c>
      <c r="F35" s="306">
        <f>C35/C43</f>
        <v>0</v>
      </c>
      <c r="G35" s="480">
        <f>F35+F36</f>
        <v>0</v>
      </c>
      <c r="I35" s="390" t="s">
        <v>43</v>
      </c>
      <c r="J35" s="305">
        <f>COUNTIFS('1. ALL DATA'!$X$5:$X$123,"Value For Money Council Services",'1. ALL DATA'!$M$5:$M$123,"Completed behind schedule")</f>
        <v>0</v>
      </c>
      <c r="K35" s="306">
        <f>J35/J42</f>
        <v>0</v>
      </c>
      <c r="L35" s="478">
        <f>K35+K36</f>
        <v>0</v>
      </c>
      <c r="M35" s="306">
        <f>J35/J43</f>
        <v>0</v>
      </c>
      <c r="N35" s="480">
        <f>M35+M36</f>
        <v>0</v>
      </c>
      <c r="P35" s="391" t="s">
        <v>43</v>
      </c>
      <c r="Q35" s="305">
        <f>COUNTIFS('1. ALL DATA'!$X$5:$X$123,"Value For Money Council Services",'1. ALL DATA'!$R$5:$R$123,"Completed behind schedule")</f>
        <v>0</v>
      </c>
      <c r="R35" s="306">
        <f>Q35/Q42</f>
        <v>0</v>
      </c>
      <c r="S35" s="478">
        <f>R35+R36</f>
        <v>0</v>
      </c>
      <c r="T35" s="306">
        <f>Q35/Q43</f>
        <v>0</v>
      </c>
      <c r="U35" s="480">
        <f>T35+T36</f>
        <v>0</v>
      </c>
      <c r="W35" s="391" t="s">
        <v>86</v>
      </c>
      <c r="X35" s="312">
        <f>COUNTIFS('1. ALL DATA'!$X$5:$X$123,"Value For Money Council Services",'1. ALL DATA'!$V$5:$V$123,"Completed Significantly After Target Deadline")</f>
        <v>0</v>
      </c>
      <c r="Y35" s="306">
        <f>X35/$X$42</f>
        <v>0</v>
      </c>
      <c r="Z35" s="478">
        <f>Y35+Y36</f>
        <v>0</v>
      </c>
      <c r="AA35" s="306" t="e">
        <f>X35/X43</f>
        <v>#DIV/0!</v>
      </c>
      <c r="AB35" s="480" t="e">
        <f>AA35+AA36</f>
        <v>#DIV/0!</v>
      </c>
    </row>
    <row r="36" spans="2:28" ht="20.25" customHeight="1">
      <c r="B36" s="389" t="s">
        <v>28</v>
      </c>
      <c r="C36" s="305">
        <f>COUNTIFS('1. ALL DATA'!$X$5:$X$123,"Value For Money Council Services",'1. ALL DATA'!$H$5:$H$123,"Off target")</f>
        <v>0</v>
      </c>
      <c r="D36" s="306">
        <f>C36/C42</f>
        <v>0</v>
      </c>
      <c r="E36" s="478"/>
      <c r="F36" s="306">
        <f>C36/C43</f>
        <v>0</v>
      </c>
      <c r="G36" s="480"/>
      <c r="I36" s="390" t="s">
        <v>28</v>
      </c>
      <c r="J36" s="305">
        <f>COUNTIFS('1. ALL DATA'!$X$5:$X$123,"Value For Money Council Services",'1. ALL DATA'!$M$5:$M$123,"Off target")</f>
        <v>0</v>
      </c>
      <c r="K36" s="306">
        <f>J36/J42</f>
        <v>0</v>
      </c>
      <c r="L36" s="478"/>
      <c r="M36" s="306">
        <f>J36/J43</f>
        <v>0</v>
      </c>
      <c r="N36" s="480"/>
      <c r="P36" s="391" t="s">
        <v>28</v>
      </c>
      <c r="Q36" s="305">
        <f>COUNTIFS('1. ALL DATA'!$X$5:$X$123,"Value For Money Council Services",'1. ALL DATA'!$R$5:$R$123,"Off target")</f>
        <v>0</v>
      </c>
      <c r="R36" s="306">
        <f>Q36/Q42</f>
        <v>0</v>
      </c>
      <c r="S36" s="478"/>
      <c r="T36" s="306">
        <f>Q36/Q43</f>
        <v>0</v>
      </c>
      <c r="U36" s="480"/>
      <c r="W36" s="391" t="s">
        <v>28</v>
      </c>
      <c r="X36" s="312">
        <f>COUNTIFS('1. ALL DATA'!$X$5:$X$123,"Value For Money Council Services",'1. ALL DATA'!$V$5:$V$123,"Off Target")</f>
        <v>0</v>
      </c>
      <c r="Y36" s="306">
        <f>X36/$X$42</f>
        <v>0</v>
      </c>
      <c r="Z36" s="478"/>
      <c r="AA36" s="306" t="e">
        <f>X36/X43</f>
        <v>#DIV/0!</v>
      </c>
      <c r="AB36" s="480"/>
    </row>
    <row r="37" spans="2:28" s="64" customFormat="1" ht="6.75" customHeight="1">
      <c r="B37" s="184"/>
      <c r="C37" s="313"/>
      <c r="D37" s="299"/>
      <c r="E37" s="299"/>
      <c r="F37" s="299"/>
      <c r="G37" s="190"/>
      <c r="H37" s="1"/>
      <c r="I37" s="342"/>
      <c r="J37" s="313"/>
      <c r="K37" s="299"/>
      <c r="L37" s="299"/>
      <c r="M37" s="299"/>
      <c r="N37" s="190"/>
      <c r="O37" s="1"/>
      <c r="P37" s="196"/>
      <c r="Q37" s="313"/>
      <c r="R37" s="299"/>
      <c r="S37" s="299"/>
      <c r="T37" s="299"/>
      <c r="U37" s="190"/>
      <c r="V37" s="1"/>
      <c r="W37" s="314"/>
      <c r="X37" s="314"/>
      <c r="Y37" s="315"/>
      <c r="Z37" s="315"/>
      <c r="AA37" s="316"/>
      <c r="AB37" s="256"/>
    </row>
    <row r="38" spans="2:28" ht="15" customHeight="1">
      <c r="B38" s="48" t="s">
        <v>2</v>
      </c>
      <c r="C38" s="317">
        <f>COUNTIFS('1. ALL DATA'!$X$5:$X$123,"Value For Money Council Services",'1. ALL DATA'!$H$5:$H$123,"Not yet due")</f>
        <v>16</v>
      </c>
      <c r="D38" s="300">
        <f>C38/C42</f>
        <v>0.2711864406779661</v>
      </c>
      <c r="E38" s="300">
        <f>D38</f>
        <v>0.2711864406779661</v>
      </c>
      <c r="F38" s="51"/>
      <c r="G38" s="47"/>
      <c r="I38" s="332" t="s">
        <v>2</v>
      </c>
      <c r="J38" s="317">
        <f>COUNTIFS('1. ALL DATA'!$X$5:$X$123,"Value For Money Council Services",'1. ALL DATA'!$M$5:$M$123,"Not yet due")</f>
        <v>6</v>
      </c>
      <c r="K38" s="300">
        <f>J38/J42</f>
        <v>0.10169491525423729</v>
      </c>
      <c r="L38" s="300">
        <f>K38</f>
        <v>0.10169491525423729</v>
      </c>
      <c r="M38" s="51"/>
      <c r="N38" s="47"/>
      <c r="P38" s="332" t="s">
        <v>2</v>
      </c>
      <c r="Q38" s="317">
        <f>COUNTIFS('1. ALL DATA'!$X$5:$X$123,"Value For Money Council Services",'1. ALL DATA'!$R$5:$R$123,"Not yet due")</f>
        <v>2</v>
      </c>
      <c r="R38" s="300">
        <f>Q38/Q42</f>
        <v>3.3898305084745763E-2</v>
      </c>
      <c r="S38" s="300">
        <f>R38</f>
        <v>3.3898305084745763E-2</v>
      </c>
      <c r="T38" s="51"/>
      <c r="U38" s="99"/>
      <c r="W38" s="336" t="s">
        <v>2</v>
      </c>
      <c r="X38" s="312">
        <f>COUNTIFS('1. ALL DATA'!$X$5:$X$123,"Value For Money Council Services",'1. ALL DATA'!$V$5:$V$123,"not yet due")</f>
        <v>0</v>
      </c>
      <c r="Y38" s="300">
        <f>X38/$X$42</f>
        <v>0</v>
      </c>
      <c r="Z38" s="300">
        <f>Y38</f>
        <v>0</v>
      </c>
      <c r="AA38" s="51"/>
      <c r="AB38" s="258"/>
    </row>
    <row r="39" spans="2:28" ht="15" customHeight="1">
      <c r="B39" s="48" t="s">
        <v>47</v>
      </c>
      <c r="C39" s="317">
        <f>COUNTIFS('1. ALL DATA'!$X$5:$X$123,"Value For Money Council Services",'1. ALL DATA'!$H$5:$H$123,"Update not provided")</f>
        <v>0</v>
      </c>
      <c r="D39" s="300">
        <f>C39/C42</f>
        <v>0</v>
      </c>
      <c r="E39" s="300">
        <f>D39</f>
        <v>0</v>
      </c>
      <c r="F39" s="51"/>
      <c r="G39" s="104"/>
      <c r="I39" s="332" t="s">
        <v>47</v>
      </c>
      <c r="J39" s="317">
        <f>COUNTIFS('1. ALL DATA'!$X$5:$X$123,"Value For Money Council Services",'1. ALL DATA'!$M$5:$M$123,"Update not provided")</f>
        <v>0</v>
      </c>
      <c r="K39" s="300">
        <f>J39/J42</f>
        <v>0</v>
      </c>
      <c r="L39" s="300">
        <f>K39</f>
        <v>0</v>
      </c>
      <c r="M39" s="51"/>
      <c r="N39" s="104"/>
      <c r="P39" s="332" t="s">
        <v>47</v>
      </c>
      <c r="Q39" s="317">
        <f>COUNTIFS('1. ALL DATA'!$X$5:$X$123,"Value For Money Council Services",'1. ALL DATA'!$R$5:$R$123,"Update not provided")</f>
        <v>0</v>
      </c>
      <c r="R39" s="300">
        <f>Q39/Q42</f>
        <v>0</v>
      </c>
      <c r="S39" s="300">
        <f>R39</f>
        <v>0</v>
      </c>
      <c r="T39" s="51"/>
      <c r="U39" s="100"/>
      <c r="W39" s="337" t="s">
        <v>47</v>
      </c>
      <c r="X39" s="312">
        <f>COUNTIFS('1. ALL DATA'!$X$5:$X$123,"Value For Money Council Services",'1. ALL DATA'!$V$5:$V$123,"update not provided")</f>
        <v>59</v>
      </c>
      <c r="Y39" s="300">
        <f>X39/$X$42</f>
        <v>1</v>
      </c>
      <c r="Z39" s="300">
        <f>Y39</f>
        <v>1</v>
      </c>
      <c r="AA39" s="51"/>
    </row>
    <row r="40" spans="2:28" ht="15.75" customHeight="1">
      <c r="B40" s="49" t="s">
        <v>23</v>
      </c>
      <c r="C40" s="317">
        <f>COUNTIFS('1. ALL DATA'!$X$5:$X$123,"Value For Money Council Services",'1. ALL DATA'!$H$5:$H$123,"Deferred")</f>
        <v>0</v>
      </c>
      <c r="D40" s="301">
        <f>C40/C42</f>
        <v>0</v>
      </c>
      <c r="E40" s="301">
        <f>D40</f>
        <v>0</v>
      </c>
      <c r="F40" s="46"/>
      <c r="G40" s="47"/>
      <c r="I40" s="333" t="s">
        <v>23</v>
      </c>
      <c r="J40" s="317">
        <f>COUNTIFS('1. ALL DATA'!$X$5:$X$123,"Value For Money Council Services",'1. ALL DATA'!$M$5:$M$123,"Deferred")</f>
        <v>0</v>
      </c>
      <c r="K40" s="301">
        <f>J40/J42</f>
        <v>0</v>
      </c>
      <c r="L40" s="301">
        <f>K40</f>
        <v>0</v>
      </c>
      <c r="M40" s="46"/>
      <c r="N40" s="47"/>
      <c r="P40" s="333" t="s">
        <v>23</v>
      </c>
      <c r="Q40" s="317">
        <f>COUNTIFS('1. ALL DATA'!$X$5:$X$123,"Value For Money Council Services",'1. ALL DATA'!$R$5:$R$123,"Deferred")</f>
        <v>0</v>
      </c>
      <c r="R40" s="301">
        <f>Q40/Q42</f>
        <v>0</v>
      </c>
      <c r="S40" s="301">
        <f>R40</f>
        <v>0</v>
      </c>
      <c r="T40" s="46"/>
      <c r="U40" s="99"/>
      <c r="W40" s="333" t="s">
        <v>23</v>
      </c>
      <c r="X40" s="312">
        <f>COUNTIFS('1. ALL DATA'!$X$5:$X$123,"Value For Money Council Services",'1. ALL DATA'!$V$5:$V$123,"Deferred")</f>
        <v>0</v>
      </c>
      <c r="Y40" s="301">
        <f>X40/$X$42</f>
        <v>0</v>
      </c>
      <c r="Z40" s="301">
        <f>Y40</f>
        <v>0</v>
      </c>
      <c r="AA40" s="46"/>
      <c r="AB40" s="258"/>
    </row>
    <row r="41" spans="2:28" ht="15.75" customHeight="1">
      <c r="B41" s="49" t="s">
        <v>29</v>
      </c>
      <c r="C41" s="317">
        <f>COUNTIFS('1. ALL DATA'!$X$5:$X$123,"Value For Money Council Services",'1. ALL DATA'!$H$5:$H$123,"Deleted")</f>
        <v>0</v>
      </c>
      <c r="D41" s="301">
        <f>C41/C42</f>
        <v>0</v>
      </c>
      <c r="E41" s="301">
        <f>D41</f>
        <v>0</v>
      </c>
      <c r="F41" s="46"/>
      <c r="G41" s="259" t="s">
        <v>63</v>
      </c>
      <c r="I41" s="333" t="s">
        <v>29</v>
      </c>
      <c r="J41" s="317">
        <f>COUNTIFS('1. ALL DATA'!$X$5:$X$123,"Value For Money Council Services",'1. ALL DATA'!$M$5:$M$123,"Deleted")</f>
        <v>0</v>
      </c>
      <c r="K41" s="301">
        <f>J41/J42</f>
        <v>0</v>
      </c>
      <c r="L41" s="301">
        <f>K41</f>
        <v>0</v>
      </c>
      <c r="M41" s="46"/>
      <c r="N41" s="259" t="s">
        <v>63</v>
      </c>
      <c r="P41" s="333" t="s">
        <v>29</v>
      </c>
      <c r="Q41" s="317">
        <f>COUNTIFS('1. ALL DATA'!$X$5:$X$123,"Value For Money Council Services",'1. ALL DATA'!$R$5:$R$123,"Deleted")</f>
        <v>0</v>
      </c>
      <c r="R41" s="301">
        <f>Q41/Q42</f>
        <v>0</v>
      </c>
      <c r="S41" s="301">
        <f>R41</f>
        <v>0</v>
      </c>
      <c r="T41" s="46"/>
      <c r="U41" s="259" t="s">
        <v>63</v>
      </c>
      <c r="W41" s="333" t="s">
        <v>29</v>
      </c>
      <c r="X41" s="312">
        <f>COUNTIFS('1. ALL DATA'!$X$5:$X$123,"Value For Money Council Services",'1. ALL DATA'!$V$5:$V$123,"Deleted")</f>
        <v>0</v>
      </c>
      <c r="Y41" s="301">
        <f>X41/$X$42</f>
        <v>0</v>
      </c>
      <c r="Z41" s="301">
        <f>Y41</f>
        <v>0</v>
      </c>
      <c r="AA41" s="46"/>
      <c r="AB41" s="259" t="s">
        <v>63</v>
      </c>
    </row>
    <row r="42" spans="2:28" ht="15.75" customHeight="1">
      <c r="B42" s="50" t="s">
        <v>31</v>
      </c>
      <c r="C42" s="319">
        <f>SUM(C28:C41)</f>
        <v>59</v>
      </c>
      <c r="D42" s="46"/>
      <c r="E42" s="46"/>
      <c r="F42" s="47"/>
      <c r="G42" s="47"/>
      <c r="I42" s="334" t="s">
        <v>31</v>
      </c>
      <c r="J42" s="319">
        <f>SUM(J28:J41)</f>
        <v>59</v>
      </c>
      <c r="K42" s="46"/>
      <c r="L42" s="46"/>
      <c r="M42" s="47"/>
      <c r="N42" s="47"/>
      <c r="P42" s="334" t="s">
        <v>31</v>
      </c>
      <c r="Q42" s="319">
        <f>SUM(Q28:Q41)</f>
        <v>59</v>
      </c>
      <c r="R42" s="46"/>
      <c r="S42" s="46"/>
      <c r="T42" s="47"/>
      <c r="U42" s="99"/>
      <c r="W42" s="334" t="s">
        <v>31</v>
      </c>
      <c r="X42" s="320">
        <f>SUM(X28:X41)</f>
        <v>59</v>
      </c>
      <c r="Y42" s="46"/>
      <c r="Z42" s="46"/>
      <c r="AA42" s="47"/>
      <c r="AB42" s="258"/>
    </row>
    <row r="43" spans="2:28" ht="15.75" customHeight="1">
      <c r="B43" s="50" t="s">
        <v>32</v>
      </c>
      <c r="C43" s="319">
        <f>C42-C41-C40-C39-C38</f>
        <v>43</v>
      </c>
      <c r="D43" s="47"/>
      <c r="E43" s="47"/>
      <c r="F43" s="47"/>
      <c r="G43" s="47"/>
      <c r="I43" s="334" t="s">
        <v>32</v>
      </c>
      <c r="J43" s="319">
        <f>J42-J41-J40-J39-J38</f>
        <v>53</v>
      </c>
      <c r="K43" s="47"/>
      <c r="L43" s="47"/>
      <c r="M43" s="47"/>
      <c r="N43" s="47"/>
      <c r="P43" s="334" t="s">
        <v>32</v>
      </c>
      <c r="Q43" s="319">
        <f>Q42-Q41-Q40-Q39-Q38</f>
        <v>57</v>
      </c>
      <c r="R43" s="47"/>
      <c r="S43" s="47"/>
      <c r="T43" s="47"/>
      <c r="U43" s="99"/>
      <c r="W43" s="334" t="s">
        <v>32</v>
      </c>
      <c r="X43" s="320">
        <f>X42-X41-X40-X39-X38</f>
        <v>0</v>
      </c>
      <c r="Y43" s="47"/>
      <c r="Z43" s="47"/>
      <c r="AA43" s="47"/>
      <c r="AB43" s="258"/>
    </row>
    <row r="44" spans="2:28" ht="15.75" customHeight="1">
      <c r="P44" s="335"/>
      <c r="W44" s="338"/>
      <c r="X44" s="1"/>
      <c r="Y44" s="1"/>
      <c r="Z44" s="1"/>
      <c r="AA44" s="47"/>
      <c r="AB44" s="258"/>
    </row>
    <row r="45" spans="2:28" ht="15.75" hidden="1" customHeight="1"/>
    <row r="46" spans="2:28" s="64" customFormat="1" ht="15.75" hidden="1" customHeight="1">
      <c r="B46" s="66"/>
      <c r="C46" s="1"/>
      <c r="D46" s="1"/>
      <c r="E46" s="1"/>
      <c r="F46" s="47"/>
      <c r="G46" s="1"/>
      <c r="H46" s="1"/>
      <c r="I46" s="322"/>
      <c r="J46" s="1"/>
      <c r="K46" s="1"/>
      <c r="L46" s="1"/>
      <c r="M46" s="47"/>
      <c r="N46" s="1"/>
      <c r="O46" s="1"/>
      <c r="P46" s="322"/>
      <c r="Q46" s="1"/>
      <c r="R46" s="1"/>
      <c r="S46" s="1"/>
      <c r="T46" s="47"/>
      <c r="U46" s="96"/>
      <c r="V46" s="1"/>
      <c r="W46" s="1"/>
      <c r="X46" s="1"/>
      <c r="Y46" s="1"/>
      <c r="Z46" s="1"/>
      <c r="AA46" s="1"/>
      <c r="AB46" s="258"/>
    </row>
    <row r="47" spans="2:28" ht="15.75" hidden="1" customHeight="1">
      <c r="B47" s="152" t="s">
        <v>233</v>
      </c>
      <c r="C47" s="86"/>
      <c r="D47" s="86"/>
      <c r="E47" s="86"/>
      <c r="F47" s="83"/>
      <c r="G47" s="86"/>
      <c r="I47" s="343" t="s">
        <v>233</v>
      </c>
      <c r="J47" s="200"/>
      <c r="K47" s="200"/>
      <c r="L47" s="200"/>
      <c r="M47" s="194"/>
      <c r="N47" s="201"/>
      <c r="P47" s="348" t="s">
        <v>233</v>
      </c>
      <c r="Q47" s="86"/>
      <c r="R47" s="86"/>
      <c r="S47" s="86"/>
      <c r="T47" s="83"/>
      <c r="U47" s="101"/>
      <c r="W47" s="348" t="s">
        <v>233</v>
      </c>
      <c r="X47" s="83"/>
      <c r="Y47" s="83"/>
      <c r="Z47" s="83"/>
      <c r="AA47" s="83"/>
      <c r="AB47" s="253"/>
    </row>
    <row r="48" spans="2:28" ht="36" hidden="1" customHeight="1">
      <c r="B48" s="71" t="s">
        <v>24</v>
      </c>
      <c r="C48" s="84" t="s">
        <v>25</v>
      </c>
      <c r="D48" s="84" t="s">
        <v>19</v>
      </c>
      <c r="E48" s="84" t="s">
        <v>49</v>
      </c>
      <c r="F48" s="84" t="s">
        <v>30</v>
      </c>
      <c r="G48" s="84" t="s">
        <v>50</v>
      </c>
      <c r="I48" s="84" t="s">
        <v>24</v>
      </c>
      <c r="J48" s="84" t="s">
        <v>25</v>
      </c>
      <c r="K48" s="84" t="s">
        <v>19</v>
      </c>
      <c r="L48" s="84" t="s">
        <v>49</v>
      </c>
      <c r="M48" s="84" t="s">
        <v>30</v>
      </c>
      <c r="N48" s="84" t="s">
        <v>50</v>
      </c>
      <c r="P48" s="84" t="s">
        <v>24</v>
      </c>
      <c r="Q48" s="84" t="s">
        <v>25</v>
      </c>
      <c r="R48" s="84" t="s">
        <v>19</v>
      </c>
      <c r="S48" s="84" t="s">
        <v>49</v>
      </c>
      <c r="T48" s="84" t="s">
        <v>30</v>
      </c>
      <c r="U48" s="93" t="s">
        <v>50</v>
      </c>
      <c r="W48" s="84" t="s">
        <v>24</v>
      </c>
      <c r="X48" s="84" t="s">
        <v>25</v>
      </c>
      <c r="Y48" s="84" t="s">
        <v>19</v>
      </c>
      <c r="Z48" s="84" t="s">
        <v>49</v>
      </c>
      <c r="AA48" s="84" t="s">
        <v>30</v>
      </c>
      <c r="AB48" s="254" t="s">
        <v>50</v>
      </c>
    </row>
    <row r="49" spans="2:32" s="62" customFormat="1" ht="7.5" hidden="1" customHeight="1">
      <c r="B49" s="53"/>
      <c r="C49" s="56"/>
      <c r="D49" s="56"/>
      <c r="E49" s="56"/>
      <c r="F49" s="56"/>
      <c r="G49" s="56"/>
      <c r="H49" s="309"/>
      <c r="I49" s="56"/>
      <c r="J49" s="56"/>
      <c r="K49" s="56"/>
      <c r="L49" s="56"/>
      <c r="M49" s="56"/>
      <c r="N49" s="56"/>
      <c r="O49" s="309"/>
      <c r="P49" s="56"/>
      <c r="Q49" s="56"/>
      <c r="R49" s="56"/>
      <c r="S49" s="56"/>
      <c r="T49" s="56"/>
      <c r="U49" s="94"/>
      <c r="V49" s="309"/>
      <c r="W49" s="56"/>
      <c r="X49" s="56"/>
      <c r="Y49" s="56"/>
      <c r="Z49" s="56"/>
      <c r="AA49" s="56"/>
      <c r="AB49" s="260"/>
      <c r="AD49" s="64"/>
      <c r="AE49" s="64"/>
      <c r="AF49" s="64"/>
    </row>
    <row r="50" spans="2:32" ht="18.75" hidden="1" customHeight="1">
      <c r="B50" s="295" t="s">
        <v>46</v>
      </c>
      <c r="C50" s="305">
        <f>COUNTIFS('1. ALL DATA'!$X$5:$X$123,"PROMOTING LOCAL ECONOMIC GROWTH",'1. ALL DATA'!$H$5:$H$123,"Fully Achieved")</f>
        <v>4</v>
      </c>
      <c r="D50" s="306">
        <f>C50/C64</f>
        <v>0.18181818181818182</v>
      </c>
      <c r="E50" s="478">
        <f>D50+D51</f>
        <v>0.72727272727272729</v>
      </c>
      <c r="F50" s="306">
        <f>C50/C65</f>
        <v>0.25</v>
      </c>
      <c r="G50" s="481">
        <f>F50+F51</f>
        <v>1</v>
      </c>
      <c r="I50" s="339" t="s">
        <v>46</v>
      </c>
      <c r="J50" s="305">
        <f>COUNTIFS('1. ALL DATA'!$X$5:$X$123,"PROMOTING LOCAL ECONOMIC GROWTH",'1. ALL DATA'!$M$5:$M$123,"Fully Achieved")</f>
        <v>7</v>
      </c>
      <c r="K50" s="306">
        <f>J50/J64</f>
        <v>0.31818181818181818</v>
      </c>
      <c r="L50" s="478">
        <f>K50+K51</f>
        <v>0.81818181818181812</v>
      </c>
      <c r="M50" s="306">
        <f>J50/J65</f>
        <v>0.3888888888888889</v>
      </c>
      <c r="N50" s="481">
        <f>M50+M51</f>
        <v>1</v>
      </c>
      <c r="P50" s="344" t="s">
        <v>46</v>
      </c>
      <c r="Q50" s="305">
        <f>COUNTIFS('1. ALL DATA'!$X$5:$X$123,"PROMOTING LOCAL ECONOMIC GROWTH",'1. ALL DATA'!$R$5:$R$123,"Fully Achieved")</f>
        <v>9</v>
      </c>
      <c r="R50" s="306">
        <f>Q50/Q64</f>
        <v>0.40909090909090912</v>
      </c>
      <c r="S50" s="478">
        <f>R50+R51</f>
        <v>0.81818181818181823</v>
      </c>
      <c r="T50" s="306">
        <f>Q50/Q65</f>
        <v>0.47368421052631576</v>
      </c>
      <c r="U50" s="481">
        <f>T50+T51</f>
        <v>0.94736842105263153</v>
      </c>
      <c r="W50" s="339" t="s">
        <v>41</v>
      </c>
      <c r="X50" s="307">
        <f>COUNTIFS('1. ALL DATA'!$X$5:$X$123,"PROMOTING LOCAL ECONOMIC GROWTH",'1. ALL DATA'!$V$5:$V$123,"Fully Achieved")</f>
        <v>0</v>
      </c>
      <c r="Y50" s="306">
        <f>X50/$X$64</f>
        <v>0</v>
      </c>
      <c r="Z50" s="478">
        <f>Y50+Y51</f>
        <v>0</v>
      </c>
      <c r="AA50" s="306" t="e">
        <f>X50/$X$65</f>
        <v>#DIV/0!</v>
      </c>
      <c r="AB50" s="481" t="e">
        <f>AA50+AA51</f>
        <v>#DIV/0!</v>
      </c>
    </row>
    <row r="51" spans="2:32" ht="18.75" hidden="1" customHeight="1">
      <c r="B51" s="295" t="s">
        <v>42</v>
      </c>
      <c r="C51" s="305">
        <f>COUNTIFS('1. ALL DATA'!$X$5:$X$123,"PROMOTING LOCAL ECONOMIC GROWTH",'1. ALL DATA'!$H$5:$H$123,"On track to be achieved")</f>
        <v>12</v>
      </c>
      <c r="D51" s="306">
        <f>C51/C64</f>
        <v>0.54545454545454541</v>
      </c>
      <c r="E51" s="478"/>
      <c r="F51" s="306">
        <f>C51/C65</f>
        <v>0.75</v>
      </c>
      <c r="G51" s="481"/>
      <c r="I51" s="339" t="s">
        <v>42</v>
      </c>
      <c r="J51" s="305">
        <f>COUNTIFS('1. ALL DATA'!$X$5:$X$123,"PROMOTING LOCAL ECONOMIC GROWTH",'1. ALL DATA'!$M$5:$M$123,"On track to be achieved")</f>
        <v>11</v>
      </c>
      <c r="K51" s="306">
        <f>J51/J64</f>
        <v>0.5</v>
      </c>
      <c r="L51" s="478"/>
      <c r="M51" s="306">
        <f>J51/J65</f>
        <v>0.61111111111111116</v>
      </c>
      <c r="N51" s="481"/>
      <c r="P51" s="344" t="s">
        <v>42</v>
      </c>
      <c r="Q51" s="305">
        <f>COUNTIFS('1. ALL DATA'!$X$5:$X$123,"PROMOTING LOCAL ECONOMIC GROWTH",'1. ALL DATA'!$R$5:$R$123,"On track to be achieved")</f>
        <v>9</v>
      </c>
      <c r="R51" s="306">
        <f>Q51/Q64</f>
        <v>0.40909090909090912</v>
      </c>
      <c r="S51" s="478"/>
      <c r="T51" s="306">
        <f>Q51/Q65</f>
        <v>0.47368421052631576</v>
      </c>
      <c r="U51" s="481"/>
      <c r="W51" s="339" t="s">
        <v>83</v>
      </c>
      <c r="X51" s="307">
        <f>COUNTIFS('1. ALL DATA'!$X$5:$X$123,"PROMOTING LOCAL ECONOMIC GROWTH",'1. ALL DATA'!$V$5:$V$123,"Numerical Outturn Within 5% Tolerance")</f>
        <v>0</v>
      </c>
      <c r="Y51" s="306">
        <f>X51/$X$64</f>
        <v>0</v>
      </c>
      <c r="Z51" s="478"/>
      <c r="AA51" s="306" t="e">
        <f>X51/$X$65</f>
        <v>#DIV/0!</v>
      </c>
      <c r="AB51" s="481"/>
    </row>
    <row r="52" spans="2:32" s="62" customFormat="1" ht="6.75" hidden="1" customHeight="1">
      <c r="B52" s="53"/>
      <c r="C52" s="308"/>
      <c r="D52" s="212"/>
      <c r="E52" s="212"/>
      <c r="F52" s="212"/>
      <c r="G52" s="54"/>
      <c r="H52" s="309"/>
      <c r="I52" s="340"/>
      <c r="J52" s="308"/>
      <c r="K52" s="212"/>
      <c r="L52" s="212"/>
      <c r="M52" s="212"/>
      <c r="N52" s="54"/>
      <c r="O52" s="309"/>
      <c r="P52" s="345"/>
      <c r="Q52" s="308"/>
      <c r="R52" s="212"/>
      <c r="S52" s="212"/>
      <c r="T52" s="212"/>
      <c r="U52" s="54"/>
      <c r="V52" s="309"/>
      <c r="W52" s="352"/>
      <c r="X52" s="56"/>
      <c r="Y52" s="212"/>
      <c r="Z52" s="212"/>
      <c r="AA52" s="212"/>
      <c r="AB52" s="54"/>
      <c r="AD52" s="64"/>
      <c r="AE52" s="64"/>
      <c r="AF52" s="64"/>
    </row>
    <row r="53" spans="2:32" ht="19.5" hidden="1" customHeight="1">
      <c r="B53" s="476" t="s">
        <v>27</v>
      </c>
      <c r="C53" s="477">
        <f>COUNTIFS('1. ALL DATA'!$X$5:$X$123,"PROMOTING LOCAL ECONOMIC GROWTH",'1. ALL DATA'!$H$5:$H$123,"In danger of falling behind target")</f>
        <v>0</v>
      </c>
      <c r="D53" s="478">
        <f>C53/C64</f>
        <v>0</v>
      </c>
      <c r="E53" s="478">
        <f>D53</f>
        <v>0</v>
      </c>
      <c r="F53" s="478">
        <f>C53/C65</f>
        <v>0</v>
      </c>
      <c r="G53" s="479">
        <f>F53</f>
        <v>0</v>
      </c>
      <c r="I53" s="476" t="s">
        <v>27</v>
      </c>
      <c r="J53" s="477">
        <f>COUNTIFS('1. ALL DATA'!$X$5:$X$123,"PROMOTING LOCAL ECONOMIC GROWTH",'1. ALL DATA'!$M$5:$M$123,"In danger of falling behind target")</f>
        <v>0</v>
      </c>
      <c r="K53" s="478">
        <f>J53/J64</f>
        <v>0</v>
      </c>
      <c r="L53" s="478">
        <f>K53</f>
        <v>0</v>
      </c>
      <c r="M53" s="478">
        <f>J53/J65</f>
        <v>0</v>
      </c>
      <c r="N53" s="479">
        <f>M53</f>
        <v>0</v>
      </c>
      <c r="P53" s="476" t="s">
        <v>27</v>
      </c>
      <c r="Q53" s="477">
        <f>COUNTIFS('1. ALL DATA'!$X$5:$X$123,"PROMOTING LOCAL ECONOMIC GROWTH",'1. ALL DATA'!$R$5:$R$123,"In danger of falling behind target")</f>
        <v>1</v>
      </c>
      <c r="R53" s="478">
        <f>Q53/Q64</f>
        <v>4.5454545454545456E-2</v>
      </c>
      <c r="S53" s="478">
        <f>R53</f>
        <v>4.5454545454545456E-2</v>
      </c>
      <c r="T53" s="478">
        <f>Q53/Q65</f>
        <v>5.2631578947368418E-2</v>
      </c>
      <c r="U53" s="479">
        <f>T53</f>
        <v>5.2631578947368418E-2</v>
      </c>
      <c r="W53" s="341" t="s">
        <v>84</v>
      </c>
      <c r="X53" s="307">
        <f>COUNTIFS('1. ALL DATA'!$X$5:$X$123,"PROMOTING LOCAL ECONOMIC GROWTH",'1. ALL DATA'!$V$5:$V$123,"Numerical Outturn Within 10% Tolerance")</f>
        <v>0</v>
      </c>
      <c r="Y53" s="306">
        <f>X53/$X$64</f>
        <v>0</v>
      </c>
      <c r="Z53" s="482">
        <f>SUM(Y53:Y55)</f>
        <v>0</v>
      </c>
      <c r="AA53" s="311" t="e">
        <f>X53/$X$65</f>
        <v>#DIV/0!</v>
      </c>
      <c r="AB53" s="479" t="e">
        <f>SUM(AA53:AA55)</f>
        <v>#DIV/0!</v>
      </c>
    </row>
    <row r="54" spans="2:32" ht="19.5" hidden="1" customHeight="1">
      <c r="B54" s="476"/>
      <c r="C54" s="477"/>
      <c r="D54" s="478"/>
      <c r="E54" s="478"/>
      <c r="F54" s="478"/>
      <c r="G54" s="479"/>
      <c r="I54" s="476"/>
      <c r="J54" s="477"/>
      <c r="K54" s="478"/>
      <c r="L54" s="478"/>
      <c r="M54" s="478"/>
      <c r="N54" s="479"/>
      <c r="P54" s="476"/>
      <c r="Q54" s="477"/>
      <c r="R54" s="478"/>
      <c r="S54" s="478"/>
      <c r="T54" s="478"/>
      <c r="U54" s="479"/>
      <c r="W54" s="341" t="s">
        <v>85</v>
      </c>
      <c r="X54" s="307">
        <f>COUNTIFS('1. ALL DATA'!$X$5:$X$123,"PROMOTING LOCAL ECONOMIC GROWTH",'1. ALL DATA'!$V$5:$V$123,"Target Partially Met")</f>
        <v>0</v>
      </c>
      <c r="Y54" s="306">
        <f>X54/$X$64</f>
        <v>0</v>
      </c>
      <c r="Z54" s="483"/>
      <c r="AA54" s="311" t="e">
        <f>X54/$X$65</f>
        <v>#DIV/0!</v>
      </c>
      <c r="AB54" s="479"/>
    </row>
    <row r="55" spans="2:32" ht="19.5" hidden="1" customHeight="1">
      <c r="B55" s="476"/>
      <c r="C55" s="477"/>
      <c r="D55" s="478"/>
      <c r="E55" s="478"/>
      <c r="F55" s="478"/>
      <c r="G55" s="479"/>
      <c r="I55" s="476"/>
      <c r="J55" s="477"/>
      <c r="K55" s="478"/>
      <c r="L55" s="478"/>
      <c r="M55" s="478"/>
      <c r="N55" s="479"/>
      <c r="P55" s="476"/>
      <c r="Q55" s="477"/>
      <c r="R55" s="478"/>
      <c r="S55" s="478"/>
      <c r="T55" s="478"/>
      <c r="U55" s="479"/>
      <c r="W55" s="341" t="s">
        <v>87</v>
      </c>
      <c r="X55" s="307">
        <f>COUNTIFS('1. ALL DATA'!$X$5:$X$123,"PROMOTING LOCAL ECONOMIC GROWTH",'1. ALL DATA'!$V$5:$V$123,"Completion Date Within Reasonable Tolerance")</f>
        <v>0</v>
      </c>
      <c r="Y55" s="306">
        <f>X55/$X$64</f>
        <v>0</v>
      </c>
      <c r="Z55" s="484"/>
      <c r="AA55" s="311" t="e">
        <f>X55/$X$65</f>
        <v>#DIV/0!</v>
      </c>
      <c r="AB55" s="479"/>
    </row>
    <row r="56" spans="2:32" s="62" customFormat="1" ht="6" hidden="1" customHeight="1">
      <c r="B56" s="184"/>
      <c r="C56" s="56"/>
      <c r="D56" s="212"/>
      <c r="E56" s="212"/>
      <c r="F56" s="212"/>
      <c r="G56" s="186"/>
      <c r="H56" s="309"/>
      <c r="I56" s="342"/>
      <c r="J56" s="56"/>
      <c r="K56" s="212"/>
      <c r="L56" s="212"/>
      <c r="M56" s="212"/>
      <c r="N56" s="186"/>
      <c r="O56" s="309"/>
      <c r="P56" s="347"/>
      <c r="Q56" s="56"/>
      <c r="R56" s="212"/>
      <c r="S56" s="212"/>
      <c r="T56" s="212"/>
      <c r="U56" s="186"/>
      <c r="V56" s="309"/>
      <c r="W56" s="352"/>
      <c r="X56" s="56"/>
      <c r="Y56" s="212"/>
      <c r="Z56" s="212"/>
      <c r="AA56" s="212"/>
      <c r="AB56" s="186"/>
      <c r="AD56" s="64"/>
      <c r="AE56" s="64"/>
      <c r="AF56" s="64"/>
    </row>
    <row r="57" spans="2:32" ht="22.5" hidden="1" customHeight="1">
      <c r="B57" s="389" t="s">
        <v>43</v>
      </c>
      <c r="C57" s="305">
        <f>COUNTIFS('1. ALL DATA'!$X$5:$X$123,"PROMOTING LOCAL ECONOMIC GROWTH",'1. ALL DATA'!$H$5:$H$123,"Completed behind schedule")</f>
        <v>0</v>
      </c>
      <c r="D57" s="306">
        <f>C57/C64</f>
        <v>0</v>
      </c>
      <c r="E57" s="478">
        <f>D57+D58</f>
        <v>0</v>
      </c>
      <c r="F57" s="306">
        <f>C57/C65</f>
        <v>0</v>
      </c>
      <c r="G57" s="480">
        <f>F57+F58</f>
        <v>0</v>
      </c>
      <c r="I57" s="390" t="s">
        <v>43</v>
      </c>
      <c r="J57" s="305">
        <f>COUNTIFS('1. ALL DATA'!$X$5:$X$123,"PROMOTING LOCAL ECONOMIC GROWTH",'1. ALL DATA'!$M$5:$M$123,"Completed behind schedule")</f>
        <v>0</v>
      </c>
      <c r="K57" s="306">
        <f>J57/J64</f>
        <v>0</v>
      </c>
      <c r="L57" s="478">
        <f>K57+K58</f>
        <v>0</v>
      </c>
      <c r="M57" s="306">
        <f>J57/J65</f>
        <v>0</v>
      </c>
      <c r="N57" s="480">
        <f>M57+M58</f>
        <v>0</v>
      </c>
      <c r="P57" s="391" t="s">
        <v>43</v>
      </c>
      <c r="Q57" s="305">
        <f>COUNTIFS('1. ALL DATA'!$X$5:$X$123,"PROMOTING LOCAL ECONOMIC GROWTH",'1. ALL DATA'!$R$5:$R$123,"Completed behind schedule")</f>
        <v>0</v>
      </c>
      <c r="R57" s="306">
        <f>Q57/Q64</f>
        <v>0</v>
      </c>
      <c r="S57" s="478">
        <f>R57+R58</f>
        <v>0</v>
      </c>
      <c r="T57" s="306">
        <f>Q57/Q65</f>
        <v>0</v>
      </c>
      <c r="U57" s="480">
        <f>T57+T58</f>
        <v>0</v>
      </c>
      <c r="W57" s="390" t="s">
        <v>86</v>
      </c>
      <c r="X57" s="312">
        <f>COUNTIFS('1. ALL DATA'!$X$5:$X$123,"PROMOTING LOCAL ECONOMIC GROWTH",'1. ALL DATA'!$V$5:$V$123,"Completed Significantly After Target Deadline")</f>
        <v>0</v>
      </c>
      <c r="Y57" s="306">
        <f>X57/$X$64</f>
        <v>0</v>
      </c>
      <c r="Z57" s="478">
        <f>Y57+Y58</f>
        <v>0</v>
      </c>
      <c r="AA57" s="306" t="e">
        <f>X57/$X$65</f>
        <v>#DIV/0!</v>
      </c>
      <c r="AB57" s="480" t="e">
        <f>AA57+AA58</f>
        <v>#DIV/0!</v>
      </c>
    </row>
    <row r="58" spans="2:32" ht="22.5" hidden="1" customHeight="1">
      <c r="B58" s="389" t="s">
        <v>28</v>
      </c>
      <c r="C58" s="305">
        <f>COUNTIFS('1. ALL DATA'!$X$5:$X$123,"PROMOTING LOCAL ECONOMIC GROWTH",'1. ALL DATA'!$H$5:$H$123,"Off target")</f>
        <v>0</v>
      </c>
      <c r="D58" s="306">
        <f>C58/C64</f>
        <v>0</v>
      </c>
      <c r="E58" s="478"/>
      <c r="F58" s="306">
        <f>C58/C65</f>
        <v>0</v>
      </c>
      <c r="G58" s="480"/>
      <c r="I58" s="390" t="s">
        <v>28</v>
      </c>
      <c r="J58" s="305">
        <f>COUNTIFS('1. ALL DATA'!$X$5:$X$123,"PROMOTING LOCAL ECONOMIC GROWTH",'1. ALL DATA'!$M$5:$M$123,"Off target")</f>
        <v>0</v>
      </c>
      <c r="K58" s="306">
        <f>J58/J64</f>
        <v>0</v>
      </c>
      <c r="L58" s="478"/>
      <c r="M58" s="306">
        <f>J58/J65</f>
        <v>0</v>
      </c>
      <c r="N58" s="480"/>
      <c r="P58" s="391" t="s">
        <v>28</v>
      </c>
      <c r="Q58" s="305">
        <f>COUNTIFS('1. ALL DATA'!$X$5:$X$123,"PROMOTING LOCAL ECONOMIC GROWTH",'1. ALL DATA'!$R$5:$R$123,"Off target")</f>
        <v>0</v>
      </c>
      <c r="R58" s="306">
        <f>Q58/Q64</f>
        <v>0</v>
      </c>
      <c r="S58" s="478"/>
      <c r="T58" s="306">
        <f>Q58/Q65</f>
        <v>0</v>
      </c>
      <c r="U58" s="480"/>
      <c r="W58" s="390" t="s">
        <v>28</v>
      </c>
      <c r="X58" s="312">
        <f>COUNTIFS('1. ALL DATA'!$X$5:$X$123,"PROMOTING LOCAL ECONOMIC GROWTH",'1. ALL DATA'!$V$5:$V$123,"Off Target")</f>
        <v>0</v>
      </c>
      <c r="Y58" s="306">
        <f>X58/$X$64</f>
        <v>0</v>
      </c>
      <c r="Z58" s="478"/>
      <c r="AA58" s="306" t="e">
        <f>X58/$X$65</f>
        <v>#DIV/0!</v>
      </c>
      <c r="AB58" s="480"/>
    </row>
    <row r="59" spans="2:32" s="62" customFormat="1" ht="6.75" hidden="1" customHeight="1">
      <c r="B59" s="53"/>
      <c r="C59" s="308"/>
      <c r="D59" s="212"/>
      <c r="E59" s="212"/>
      <c r="F59" s="212"/>
      <c r="G59" s="98"/>
      <c r="H59" s="309"/>
      <c r="I59" s="56"/>
      <c r="J59" s="308"/>
      <c r="K59" s="212"/>
      <c r="L59" s="212"/>
      <c r="M59" s="212"/>
      <c r="N59" s="98"/>
      <c r="O59" s="309"/>
      <c r="P59" s="56"/>
      <c r="Q59" s="308"/>
      <c r="R59" s="212"/>
      <c r="S59" s="212"/>
      <c r="T59" s="212"/>
      <c r="U59" s="98"/>
      <c r="V59" s="309"/>
      <c r="W59" s="323"/>
      <c r="X59" s="323"/>
      <c r="Y59" s="324"/>
      <c r="Z59" s="324"/>
      <c r="AA59" s="325"/>
      <c r="AB59" s="261"/>
      <c r="AD59" s="64"/>
      <c r="AE59" s="64"/>
      <c r="AF59" s="64"/>
    </row>
    <row r="60" spans="2:32" ht="15.75" hidden="1" customHeight="1">
      <c r="B60" s="48" t="s">
        <v>2</v>
      </c>
      <c r="C60" s="317">
        <f>COUNTIFS('1. ALL DATA'!$X$5:$X$123,"PROMOTING LOCAL ECONOMIC GROWTH",'1. ALL DATA'!$H$5:$H$123,"Not yet due")</f>
        <v>5</v>
      </c>
      <c r="D60" s="300">
        <f>C60/C64</f>
        <v>0.22727272727272727</v>
      </c>
      <c r="E60" s="300">
        <f>D60</f>
        <v>0.22727272727272727</v>
      </c>
      <c r="F60" s="51"/>
      <c r="G60" s="47"/>
      <c r="I60" s="332" t="s">
        <v>2</v>
      </c>
      <c r="J60" s="317">
        <f>COUNTIFS('1. ALL DATA'!$X$5:$X$123,"PROMOTING LOCAL ECONOMIC GROWTH",'1. ALL DATA'!$M$5:$M$123,"Not yet due")</f>
        <v>3</v>
      </c>
      <c r="K60" s="300">
        <f>J60/J64</f>
        <v>0.13636363636363635</v>
      </c>
      <c r="L60" s="300">
        <f>K60</f>
        <v>0.13636363636363635</v>
      </c>
      <c r="M60" s="51"/>
      <c r="N60" s="47"/>
      <c r="P60" s="332" t="s">
        <v>2</v>
      </c>
      <c r="Q60" s="317">
        <f>COUNTIFS('1. ALL DATA'!$X$5:$X$123,"PROMOTING LOCAL ECONOMIC GROWTH",'1. ALL DATA'!$R$5:$R$123,"Not yet due")</f>
        <v>2</v>
      </c>
      <c r="R60" s="300">
        <f>Q60/Q64</f>
        <v>9.0909090909090912E-2</v>
      </c>
      <c r="S60" s="300">
        <f>R60</f>
        <v>9.0909090909090912E-2</v>
      </c>
      <c r="T60" s="51"/>
      <c r="U60" s="99"/>
      <c r="W60" s="353" t="s">
        <v>2</v>
      </c>
      <c r="X60" s="312">
        <f>COUNTIFS('1. ALL DATA'!$X$5:$X$123,"PROMOTING LOCAL ECONOMIC GROWTH",'1. ALL DATA'!$V$5:$V$123,"not yet due")</f>
        <v>0</v>
      </c>
      <c r="Y60" s="300">
        <f>X60/$X$64</f>
        <v>0</v>
      </c>
      <c r="Z60" s="300">
        <f>Y60</f>
        <v>0</v>
      </c>
      <c r="AA60" s="51"/>
      <c r="AB60" s="258"/>
    </row>
    <row r="61" spans="2:32" ht="15.75" hidden="1" customHeight="1">
      <c r="B61" s="48" t="s">
        <v>47</v>
      </c>
      <c r="C61" s="317">
        <f>COUNTIFS('1. ALL DATA'!$X$5:$X$123,"PROMOTING LOCAL ECONOMIC GROWTH",'1. ALL DATA'!$H$5:$H$123,"Update not provided")</f>
        <v>0</v>
      </c>
      <c r="D61" s="300">
        <f>C61/C64</f>
        <v>0</v>
      </c>
      <c r="E61" s="300">
        <f>D61</f>
        <v>0</v>
      </c>
      <c r="F61" s="51"/>
      <c r="G61" s="104"/>
      <c r="I61" s="332" t="s">
        <v>47</v>
      </c>
      <c r="J61" s="317">
        <f>COUNTIFS('1. ALL DATA'!$X$5:$X$123,"PROMOTING LOCAL ECONOMIC GROWTH",'1. ALL DATA'!$M$5:$M$123,"Update not provided")</f>
        <v>0</v>
      </c>
      <c r="K61" s="300">
        <f>J61/J64</f>
        <v>0</v>
      </c>
      <c r="L61" s="300">
        <f>K61</f>
        <v>0</v>
      </c>
      <c r="M61" s="51"/>
      <c r="N61" s="104"/>
      <c r="P61" s="332" t="s">
        <v>47</v>
      </c>
      <c r="Q61" s="317">
        <f>COUNTIFS('1. ALL DATA'!$X$5:$X$123,"PROMOTING LOCAL ECONOMIC GROWTH",'1. ALL DATA'!$R$5:$R$123,"Update not provided")</f>
        <v>0</v>
      </c>
      <c r="R61" s="300">
        <f>Q61/Q64</f>
        <v>0</v>
      </c>
      <c r="S61" s="300">
        <f>R61</f>
        <v>0</v>
      </c>
      <c r="T61" s="51"/>
      <c r="U61" s="100"/>
      <c r="W61" s="354" t="s">
        <v>47</v>
      </c>
      <c r="X61" s="312">
        <f>COUNTIFS('1. ALL DATA'!$X$5:$X$123,"PROMOTING LOCAL ECONOMIC GROWTH",'1. ALL DATA'!$V$5:$V$123,"update not provided")</f>
        <v>22</v>
      </c>
      <c r="Y61" s="300">
        <f>X61/$X$64</f>
        <v>1</v>
      </c>
      <c r="Z61" s="300">
        <f>Y61</f>
        <v>1</v>
      </c>
      <c r="AA61" s="51"/>
    </row>
    <row r="62" spans="2:32" ht="15.75" hidden="1" customHeight="1">
      <c r="B62" s="49" t="s">
        <v>23</v>
      </c>
      <c r="C62" s="317">
        <f>COUNTIFS('1. ALL DATA'!$X$5:$X$123,"PROMOTING LOCAL ECONOMIC GROWTH",'1. ALL DATA'!$H$5:$H$123,"Deferred")</f>
        <v>0</v>
      </c>
      <c r="D62" s="301">
        <f>C62/C64</f>
        <v>0</v>
      </c>
      <c r="E62" s="301">
        <f>D62</f>
        <v>0</v>
      </c>
      <c r="F62" s="46"/>
      <c r="G62" s="47"/>
      <c r="I62" s="333" t="s">
        <v>23</v>
      </c>
      <c r="J62" s="317">
        <f>COUNTIFS('1. ALL DATA'!$X$5:$X$123,"PROMOTING LOCAL ECONOMIC GROWTH",'1. ALL DATA'!$M$5:$M$123,"Deferred")</f>
        <v>0</v>
      </c>
      <c r="K62" s="301">
        <f>J62/J64</f>
        <v>0</v>
      </c>
      <c r="L62" s="301">
        <f>K62</f>
        <v>0</v>
      </c>
      <c r="M62" s="46"/>
      <c r="N62" s="47"/>
      <c r="P62" s="333" t="s">
        <v>23</v>
      </c>
      <c r="Q62" s="317">
        <f>COUNTIFS('1. ALL DATA'!$X$5:$X$123,"PROMOTING LOCAL ECONOMIC GROWTH",'1. ALL DATA'!$R$5:$R$123,"Deferred")</f>
        <v>0</v>
      </c>
      <c r="R62" s="301">
        <f>Q62/Q64</f>
        <v>0</v>
      </c>
      <c r="S62" s="301">
        <f>R62</f>
        <v>0</v>
      </c>
      <c r="T62" s="46"/>
      <c r="U62" s="99"/>
      <c r="W62" s="355" t="s">
        <v>23</v>
      </c>
      <c r="X62" s="312">
        <f>COUNTIFS('1. ALL DATA'!$X$5:$X$123,"PROMOTING LOCAL ECONOMIC GROWTH",'1. ALL DATA'!$V$5:$V$123,"Deferred")</f>
        <v>0</v>
      </c>
      <c r="Y62" s="301">
        <f>X62/$X$64</f>
        <v>0</v>
      </c>
      <c r="Z62" s="301">
        <f>Y62</f>
        <v>0</v>
      </c>
      <c r="AA62" s="46"/>
      <c r="AB62" s="259" t="s">
        <v>63</v>
      </c>
    </row>
    <row r="63" spans="2:32" ht="15.75" hidden="1" customHeight="1">
      <c r="B63" s="49" t="s">
        <v>29</v>
      </c>
      <c r="C63" s="317">
        <f>COUNTIFS('1. ALL DATA'!$X$5:$X$123,"PROMOTING LOCAL ECONOMIC GROWTH",'1. ALL DATA'!$H$5:$H$123,"Deleted")</f>
        <v>1</v>
      </c>
      <c r="D63" s="301">
        <f>C63/C64</f>
        <v>4.5454545454545456E-2</v>
      </c>
      <c r="E63" s="301">
        <f>D63</f>
        <v>4.5454545454545456E-2</v>
      </c>
      <c r="F63" s="46"/>
      <c r="G63" s="259" t="s">
        <v>63</v>
      </c>
      <c r="I63" s="333" t="s">
        <v>29</v>
      </c>
      <c r="J63" s="317">
        <f>COUNTIFS('1. ALL DATA'!$X$5:$X$123,"PROMOTING LOCAL ECONOMIC GROWTH",'1. ALL DATA'!$M$5:$M$123,"Deleted")</f>
        <v>1</v>
      </c>
      <c r="K63" s="301">
        <f>J63/J64</f>
        <v>4.5454545454545456E-2</v>
      </c>
      <c r="L63" s="301">
        <f>K63</f>
        <v>4.5454545454545456E-2</v>
      </c>
      <c r="M63" s="46"/>
      <c r="N63" s="259" t="s">
        <v>63</v>
      </c>
      <c r="P63" s="333" t="s">
        <v>29</v>
      </c>
      <c r="Q63" s="317">
        <f>COUNTIFS('1. ALL DATA'!$X$5:$X$123,"PROMOTING LOCAL ECONOMIC GROWTH",'1. ALL DATA'!$R$5:$R$123,"Deleted")</f>
        <v>1</v>
      </c>
      <c r="R63" s="301">
        <f>Q63/Q64</f>
        <v>4.5454545454545456E-2</v>
      </c>
      <c r="S63" s="301">
        <f>R63</f>
        <v>4.5454545454545456E-2</v>
      </c>
      <c r="T63" s="46"/>
      <c r="U63" s="259" t="s">
        <v>63</v>
      </c>
      <c r="W63" s="355" t="s">
        <v>29</v>
      </c>
      <c r="X63" s="312">
        <f>COUNTIFS('1. ALL DATA'!$X$5:$X$123,"PROMOTING LOCAL ECONOMIC GROWTH",'1. ALL DATA'!$V$5:$V$123,"Deleted")</f>
        <v>0</v>
      </c>
      <c r="Y63" s="301">
        <f>X63/$X$64</f>
        <v>0</v>
      </c>
      <c r="Z63" s="301">
        <f>Y63</f>
        <v>0</v>
      </c>
      <c r="AA63" s="46"/>
      <c r="AB63" s="259"/>
    </row>
    <row r="64" spans="2:32" ht="15.75" hidden="1" customHeight="1">
      <c r="B64" s="50" t="s">
        <v>31</v>
      </c>
      <c r="C64" s="319">
        <f>SUM(C50:C63)</f>
        <v>22</v>
      </c>
      <c r="D64" s="46"/>
      <c r="E64" s="46"/>
      <c r="F64" s="47"/>
      <c r="G64" s="47"/>
      <c r="I64" s="334" t="s">
        <v>31</v>
      </c>
      <c r="J64" s="319">
        <f>SUM(J50:J63)</f>
        <v>22</v>
      </c>
      <c r="K64" s="46"/>
      <c r="L64" s="46"/>
      <c r="M64" s="47"/>
      <c r="N64" s="47"/>
      <c r="P64" s="334" t="s">
        <v>31</v>
      </c>
      <c r="Q64" s="319">
        <f>SUM(Q50:Q63)</f>
        <v>22</v>
      </c>
      <c r="R64" s="46"/>
      <c r="S64" s="46"/>
      <c r="T64" s="47"/>
      <c r="U64" s="99"/>
      <c r="W64" s="356" t="s">
        <v>31</v>
      </c>
      <c r="X64" s="320">
        <f>SUM(X50:X63)</f>
        <v>22</v>
      </c>
      <c r="Y64" s="46"/>
      <c r="Z64" s="46"/>
      <c r="AA64" s="47"/>
      <c r="AB64" s="258"/>
    </row>
    <row r="65" spans="2:28" ht="15.75" hidden="1" customHeight="1">
      <c r="B65" s="50" t="s">
        <v>32</v>
      </c>
      <c r="C65" s="319">
        <f>C64-C63-C62-C61-C60</f>
        <v>16</v>
      </c>
      <c r="D65" s="47"/>
      <c r="E65" s="47"/>
      <c r="F65" s="47"/>
      <c r="G65" s="47"/>
      <c r="I65" s="334" t="s">
        <v>32</v>
      </c>
      <c r="J65" s="319">
        <f>J64-J63-J62-J61-J60</f>
        <v>18</v>
      </c>
      <c r="K65" s="47"/>
      <c r="L65" s="47"/>
      <c r="M65" s="47"/>
      <c r="N65" s="47"/>
      <c r="P65" s="334" t="s">
        <v>32</v>
      </c>
      <c r="Q65" s="319">
        <f>Q64-Q63-Q62-Q61-Q60</f>
        <v>19</v>
      </c>
      <c r="R65" s="47"/>
      <c r="S65" s="47"/>
      <c r="T65" s="47"/>
      <c r="U65" s="99"/>
      <c r="W65" s="356" t="s">
        <v>32</v>
      </c>
      <c r="X65" s="320">
        <f>X64-X63-X62-X61-X60</f>
        <v>0</v>
      </c>
      <c r="Y65" s="47"/>
      <c r="Z65" s="47"/>
      <c r="AA65" s="47"/>
      <c r="AB65" s="258"/>
    </row>
    <row r="66" spans="2:28" ht="15.75" hidden="1" customHeight="1">
      <c r="X66" s="326"/>
    </row>
    <row r="67" spans="2:28" ht="15.75" hidden="1" customHeight="1">
      <c r="X67" s="326"/>
    </row>
    <row r="68" spans="2:28" ht="15.75" hidden="1" customHeight="1">
      <c r="X68" s="326"/>
    </row>
    <row r="69" spans="2:28" ht="15.75" hidden="1" customHeight="1">
      <c r="B69" s="175" t="s">
        <v>234</v>
      </c>
      <c r="C69" s="86"/>
      <c r="D69" s="86"/>
      <c r="E69" s="86"/>
      <c r="F69" s="83"/>
      <c r="G69" s="86"/>
      <c r="I69" s="343" t="s">
        <v>234</v>
      </c>
      <c r="J69" s="200"/>
      <c r="K69" s="200"/>
      <c r="L69" s="200"/>
      <c r="M69" s="194"/>
      <c r="N69" s="201"/>
      <c r="P69" s="348" t="s">
        <v>234</v>
      </c>
      <c r="Q69" s="86"/>
      <c r="R69" s="86"/>
      <c r="S69" s="86"/>
      <c r="T69" s="83"/>
      <c r="U69" s="101"/>
      <c r="W69" s="321" t="s">
        <v>234</v>
      </c>
      <c r="X69" s="327"/>
      <c r="Y69" s="83"/>
      <c r="Z69" s="83"/>
      <c r="AA69" s="83"/>
      <c r="AB69" s="253"/>
    </row>
    <row r="70" spans="2:28" ht="41.25" hidden="1" customHeight="1">
      <c r="B70" s="71" t="s">
        <v>24</v>
      </c>
      <c r="C70" s="84" t="s">
        <v>25</v>
      </c>
      <c r="D70" s="84" t="s">
        <v>19</v>
      </c>
      <c r="E70" s="84" t="s">
        <v>49</v>
      </c>
      <c r="F70" s="84" t="s">
        <v>30</v>
      </c>
      <c r="G70" s="84" t="s">
        <v>50</v>
      </c>
      <c r="I70" s="84" t="s">
        <v>24</v>
      </c>
      <c r="J70" s="84" t="s">
        <v>25</v>
      </c>
      <c r="K70" s="84" t="s">
        <v>19</v>
      </c>
      <c r="L70" s="84" t="s">
        <v>49</v>
      </c>
      <c r="M70" s="84" t="s">
        <v>30</v>
      </c>
      <c r="N70" s="84" t="s">
        <v>50</v>
      </c>
      <c r="P70" s="84" t="s">
        <v>24</v>
      </c>
      <c r="Q70" s="84" t="s">
        <v>25</v>
      </c>
      <c r="R70" s="84" t="s">
        <v>19</v>
      </c>
      <c r="S70" s="84" t="s">
        <v>49</v>
      </c>
      <c r="T70" s="84" t="s">
        <v>30</v>
      </c>
      <c r="U70" s="93" t="s">
        <v>50</v>
      </c>
      <c r="W70" s="84" t="s">
        <v>24</v>
      </c>
      <c r="X70" s="84" t="s">
        <v>25</v>
      </c>
      <c r="Y70" s="84" t="s">
        <v>19</v>
      </c>
      <c r="Z70" s="84" t="s">
        <v>49</v>
      </c>
      <c r="AA70" s="84" t="s">
        <v>30</v>
      </c>
      <c r="AB70" s="254" t="s">
        <v>50</v>
      </c>
    </row>
    <row r="71" spans="2:28" ht="6.75" hidden="1" customHeight="1">
      <c r="B71" s="53"/>
      <c r="C71" s="56"/>
      <c r="D71" s="56"/>
      <c r="E71" s="56"/>
      <c r="F71" s="56"/>
      <c r="G71" s="56"/>
      <c r="I71" s="56"/>
      <c r="J71" s="56"/>
      <c r="K71" s="56"/>
      <c r="L71" s="56"/>
      <c r="M71" s="56"/>
      <c r="N71" s="56"/>
      <c r="P71" s="56"/>
      <c r="Q71" s="56"/>
      <c r="R71" s="56"/>
      <c r="S71" s="56"/>
      <c r="T71" s="56"/>
      <c r="U71" s="94"/>
      <c r="W71" s="56"/>
      <c r="X71" s="56"/>
      <c r="Y71" s="56"/>
      <c r="Z71" s="56"/>
      <c r="AA71" s="56"/>
      <c r="AB71" s="260"/>
    </row>
    <row r="72" spans="2:28" ht="27.75" hidden="1" customHeight="1">
      <c r="B72" s="295" t="s">
        <v>46</v>
      </c>
      <c r="C72" s="305">
        <f>COUNTIFS('1. ALL DATA'!$X$5:$X$123,"PROTECTING AND STRENGTHENING COMMUNITIES",'1. ALL DATA'!$H$5:$H$123,"Fully Achieved")</f>
        <v>5</v>
      </c>
      <c r="D72" s="306">
        <f>C72/C86</f>
        <v>0.1388888888888889</v>
      </c>
      <c r="E72" s="478">
        <f>D72+D73</f>
        <v>0.75</v>
      </c>
      <c r="F72" s="306">
        <f>C72/C87</f>
        <v>0.17857142857142858</v>
      </c>
      <c r="G72" s="481">
        <f>F72+F73</f>
        <v>0.9642857142857143</v>
      </c>
      <c r="I72" s="344" t="s">
        <v>46</v>
      </c>
      <c r="J72" s="305">
        <f>COUNTIFS('1. ALL DATA'!$X$5:$X$123,"PROTECTING AND STRENGTHENING COMMUNITIES",'1. ALL DATA'!$M$5:$M$123,"Fully Achieved")</f>
        <v>10</v>
      </c>
      <c r="K72" s="306">
        <f>J72/J86</f>
        <v>0.27777777777777779</v>
      </c>
      <c r="L72" s="478">
        <f>K72+K73</f>
        <v>0.88888888888888895</v>
      </c>
      <c r="M72" s="306">
        <f>J72/J87</f>
        <v>0.30303030303030304</v>
      </c>
      <c r="N72" s="481">
        <f>M72+M73</f>
        <v>0.96969696969696972</v>
      </c>
      <c r="P72" s="344" t="s">
        <v>46</v>
      </c>
      <c r="Q72" s="305">
        <f>COUNTIFS('1. ALL DATA'!$X$5:$X$123,"PROTECTING AND STRENGTHENING COMMUNITIES",'1. ALL DATA'!$R$5:$R$123,"Fully Achieved")</f>
        <v>15</v>
      </c>
      <c r="R72" s="306">
        <f>Q72/Q86</f>
        <v>0.41666666666666669</v>
      </c>
      <c r="S72" s="478">
        <f>R72+R73</f>
        <v>0.94444444444444442</v>
      </c>
      <c r="T72" s="306">
        <f>Q72/Q87</f>
        <v>0.41666666666666669</v>
      </c>
      <c r="U72" s="481">
        <f>T72+T73</f>
        <v>0.94444444444444442</v>
      </c>
      <c r="W72" s="344" t="s">
        <v>41</v>
      </c>
      <c r="X72" s="307">
        <f>COUNTIFS('1. ALL DATA'!$X$5:$X$123,"PROTECTING AND STRENGTHENING COMMUNITIES",'1. ALL DATA'!$V$5:$V$123,"Fully Achieved")</f>
        <v>0</v>
      </c>
      <c r="Y72" s="306">
        <f>X72/$X$86</f>
        <v>0</v>
      </c>
      <c r="Z72" s="478">
        <f>Y72+Y73</f>
        <v>0</v>
      </c>
      <c r="AA72" s="306" t="e">
        <f>X72/$X$87</f>
        <v>#DIV/0!</v>
      </c>
      <c r="AB72" s="481" t="e">
        <f>AA72+AA73</f>
        <v>#DIV/0!</v>
      </c>
    </row>
    <row r="73" spans="2:28" ht="27.75" hidden="1" customHeight="1">
      <c r="B73" s="295" t="s">
        <v>42</v>
      </c>
      <c r="C73" s="305">
        <f>COUNTIFS('1. ALL DATA'!$X$5:$X$123,"PROTECTING AND STRENGTHENING COMMUNITIES",'1. ALL DATA'!$H$5:$H$123,"On track to be achieved")</f>
        <v>22</v>
      </c>
      <c r="D73" s="306">
        <f>C73/C86</f>
        <v>0.61111111111111116</v>
      </c>
      <c r="E73" s="478"/>
      <c r="F73" s="306">
        <f>C73/C87</f>
        <v>0.7857142857142857</v>
      </c>
      <c r="G73" s="481"/>
      <c r="I73" s="344" t="s">
        <v>42</v>
      </c>
      <c r="J73" s="305">
        <f>COUNTIFS('1. ALL DATA'!$X$5:$X$123,"PROTECTING AND STRENGTHENING COMMUNITIES",'1. ALL DATA'!$M$5:$M$123,"On track to be achieved")</f>
        <v>22</v>
      </c>
      <c r="K73" s="306">
        <f>J73/J86</f>
        <v>0.61111111111111116</v>
      </c>
      <c r="L73" s="478"/>
      <c r="M73" s="306">
        <f>J73/J87</f>
        <v>0.66666666666666663</v>
      </c>
      <c r="N73" s="481"/>
      <c r="P73" s="344" t="s">
        <v>42</v>
      </c>
      <c r="Q73" s="305">
        <f>COUNTIFS('1. ALL DATA'!$X$5:$X$123,"PROTECTING AND STRENGTHENING COMMUNITIES",'1. ALL DATA'!$R$5:$R$123,"On track to be achieved")</f>
        <v>19</v>
      </c>
      <c r="R73" s="306">
        <f>Q73/Q86</f>
        <v>0.52777777777777779</v>
      </c>
      <c r="S73" s="478"/>
      <c r="T73" s="306">
        <f>Q73/Q87</f>
        <v>0.52777777777777779</v>
      </c>
      <c r="U73" s="481"/>
      <c r="W73" s="344" t="s">
        <v>83</v>
      </c>
      <c r="X73" s="307">
        <f>COUNTIFS('1. ALL DATA'!$X$5:$X$123,"PROTECTING AND STRENGTHENING COMMUNITIES",'1. ALL DATA'!$V$5:$V$123,"Numerical Outturn Within 5% Tolerance")</f>
        <v>0</v>
      </c>
      <c r="Y73" s="306">
        <f>X73/$X$86</f>
        <v>0</v>
      </c>
      <c r="Z73" s="478"/>
      <c r="AA73" s="306" t="e">
        <f>X73/$X$87</f>
        <v>#DIV/0!</v>
      </c>
      <c r="AB73" s="481"/>
    </row>
    <row r="74" spans="2:28" ht="7.5" hidden="1" customHeight="1">
      <c r="B74" s="53"/>
      <c r="C74" s="308"/>
      <c r="D74" s="212"/>
      <c r="E74" s="212"/>
      <c r="F74" s="212"/>
      <c r="G74" s="54"/>
      <c r="I74" s="345"/>
      <c r="J74" s="308"/>
      <c r="K74" s="212"/>
      <c r="L74" s="212"/>
      <c r="M74" s="212"/>
      <c r="N74" s="54"/>
      <c r="P74" s="345"/>
      <c r="Q74" s="308"/>
      <c r="R74" s="212"/>
      <c r="S74" s="212"/>
      <c r="T74" s="212"/>
      <c r="U74" s="54"/>
      <c r="W74" s="352"/>
      <c r="X74" s="56"/>
      <c r="Y74" s="212"/>
      <c r="Z74" s="212"/>
      <c r="AA74" s="212"/>
      <c r="AB74" s="54"/>
    </row>
    <row r="75" spans="2:28" ht="18.75" hidden="1" customHeight="1">
      <c r="B75" s="476" t="s">
        <v>27</v>
      </c>
      <c r="C75" s="477">
        <f>COUNTIFS('1. ALL DATA'!$X$5:$X$123,"PROTECTING AND STRENGTHENING COMMUNITIES",'1. ALL DATA'!$H$5:$H$123,"In danger of falling behind target")</f>
        <v>0</v>
      </c>
      <c r="D75" s="478">
        <f>C75/C86</f>
        <v>0</v>
      </c>
      <c r="E75" s="478">
        <f>D75</f>
        <v>0</v>
      </c>
      <c r="F75" s="478">
        <f>C75/C87</f>
        <v>0</v>
      </c>
      <c r="G75" s="479">
        <f>F75</f>
        <v>0</v>
      </c>
      <c r="I75" s="476" t="s">
        <v>27</v>
      </c>
      <c r="J75" s="477">
        <f>COUNTIFS('1. ALL DATA'!$X$5:$X$123,"PROTECTING AND STRENGTHENING COMMUNITIES",'1. ALL DATA'!$M$5:$M$123,"In danger of falling behind target")</f>
        <v>0</v>
      </c>
      <c r="K75" s="478">
        <f>J75/J86</f>
        <v>0</v>
      </c>
      <c r="L75" s="478">
        <f>K75</f>
        <v>0</v>
      </c>
      <c r="M75" s="478">
        <f>J75/J87</f>
        <v>0</v>
      </c>
      <c r="N75" s="479">
        <f>M75</f>
        <v>0</v>
      </c>
      <c r="P75" s="476" t="s">
        <v>27</v>
      </c>
      <c r="Q75" s="477">
        <f>COUNTIFS('1. ALL DATA'!$X$5:$X$123,"PROTECTING AND STRENGTHENING COMMUNITIES",'1. ALL DATA'!$R$5:$R$123,"In danger of falling behind target")</f>
        <v>1</v>
      </c>
      <c r="R75" s="478">
        <f>Q75/Q86</f>
        <v>2.7777777777777776E-2</v>
      </c>
      <c r="S75" s="478">
        <f>R75</f>
        <v>2.7777777777777776E-2</v>
      </c>
      <c r="T75" s="478">
        <f>Q75/Q87</f>
        <v>2.7777777777777776E-2</v>
      </c>
      <c r="U75" s="479">
        <f>T75</f>
        <v>2.7777777777777776E-2</v>
      </c>
      <c r="W75" s="346" t="s">
        <v>84</v>
      </c>
      <c r="X75" s="307">
        <f>COUNTIFS('1. ALL DATA'!$X$5:$X$123,"PROTECTING AND STRENGTHENING COMMUNITIES",'1. ALL DATA'!$V$5:$V$123,"Numerical Outturn Within 10% Tolerance")</f>
        <v>0</v>
      </c>
      <c r="Y75" s="306">
        <f>X75/$X$86</f>
        <v>0</v>
      </c>
      <c r="Z75" s="482">
        <f>SUM(Y75:Y78)</f>
        <v>0</v>
      </c>
      <c r="AA75" s="311" t="e">
        <f>X75/$X$87</f>
        <v>#DIV/0!</v>
      </c>
      <c r="AB75" s="479" t="e">
        <f>SUM(AA75:AA78)</f>
        <v>#DIV/0!</v>
      </c>
    </row>
    <row r="76" spans="2:28" ht="18.75" hidden="1" customHeight="1">
      <c r="B76" s="476"/>
      <c r="C76" s="477"/>
      <c r="D76" s="478"/>
      <c r="E76" s="478"/>
      <c r="F76" s="478"/>
      <c r="G76" s="479"/>
      <c r="I76" s="476"/>
      <c r="J76" s="477"/>
      <c r="K76" s="478"/>
      <c r="L76" s="478"/>
      <c r="M76" s="478"/>
      <c r="N76" s="479"/>
      <c r="P76" s="476"/>
      <c r="Q76" s="477"/>
      <c r="R76" s="478"/>
      <c r="S76" s="478"/>
      <c r="T76" s="478"/>
      <c r="U76" s="479"/>
      <c r="W76" s="346" t="s">
        <v>85</v>
      </c>
      <c r="X76" s="307">
        <f>COUNTIFS('1. ALL DATA'!$X$5:$X$123,"PROTECTING AND STRENGTHENING COMMUNITIES",'1. ALL DATA'!$V$5:$V$123,"Target Partially Met")</f>
        <v>0</v>
      </c>
      <c r="Y76" s="306">
        <f>X76/$X$86</f>
        <v>0</v>
      </c>
      <c r="Z76" s="483"/>
      <c r="AA76" s="311" t="e">
        <f>X76/$X$87</f>
        <v>#DIV/0!</v>
      </c>
      <c r="AB76" s="479"/>
    </row>
    <row r="77" spans="2:28" ht="18.75" hidden="1" customHeight="1">
      <c r="B77" s="476"/>
      <c r="C77" s="477"/>
      <c r="D77" s="478"/>
      <c r="E77" s="478"/>
      <c r="F77" s="478"/>
      <c r="G77" s="479"/>
      <c r="I77" s="476"/>
      <c r="J77" s="477"/>
      <c r="K77" s="478"/>
      <c r="L77" s="478"/>
      <c r="M77" s="478"/>
      <c r="N77" s="479"/>
      <c r="P77" s="476"/>
      <c r="Q77" s="477"/>
      <c r="R77" s="478"/>
      <c r="S77" s="478"/>
      <c r="T77" s="478"/>
      <c r="U77" s="479"/>
      <c r="W77" s="346" t="s">
        <v>87</v>
      </c>
      <c r="X77" s="307">
        <f>COUNTIFS('1. ALL DATA'!$X$5:$X$123,"PROTECTING AND STRENGTHENING COMMUNITIES",'1. ALL DATA'!$V$5:$V$123,"Completion Date Within Reasonable Tolerance")</f>
        <v>0</v>
      </c>
      <c r="Y77" s="306">
        <f>X77/$X$86</f>
        <v>0</v>
      </c>
      <c r="Z77" s="484"/>
      <c r="AA77" s="311" t="e">
        <f>X77/$X$87</f>
        <v>#DIV/0!</v>
      </c>
      <c r="AB77" s="479"/>
    </row>
    <row r="78" spans="2:28" ht="6" hidden="1" customHeight="1">
      <c r="B78" s="184"/>
      <c r="C78" s="56"/>
      <c r="D78" s="212"/>
      <c r="E78" s="212"/>
      <c r="F78" s="212"/>
      <c r="G78" s="186"/>
      <c r="I78" s="347"/>
      <c r="J78" s="56"/>
      <c r="K78" s="212"/>
      <c r="L78" s="212"/>
      <c r="M78" s="212"/>
      <c r="N78" s="186"/>
      <c r="P78" s="347"/>
      <c r="Q78" s="56"/>
      <c r="R78" s="212"/>
      <c r="S78" s="212"/>
      <c r="T78" s="212"/>
      <c r="U78" s="186"/>
      <c r="W78" s="352"/>
      <c r="X78" s="56"/>
      <c r="Y78" s="212"/>
      <c r="Z78" s="212"/>
      <c r="AA78" s="212"/>
      <c r="AB78" s="186"/>
    </row>
    <row r="79" spans="2:28" ht="30" hidden="1" customHeight="1">
      <c r="B79" s="389" t="s">
        <v>43</v>
      </c>
      <c r="C79" s="305">
        <f>COUNTIFS('1. ALL DATA'!$X$5:$X$123,"PROTECTING AND STRENGTHENING COMMUNITIES",'1. ALL DATA'!$H$5:$H$123,"Completed behind schedule")</f>
        <v>1</v>
      </c>
      <c r="D79" s="306">
        <f>C79/C86</f>
        <v>2.7777777777777776E-2</v>
      </c>
      <c r="E79" s="478">
        <f>D79+D80</f>
        <v>2.7777777777777776E-2</v>
      </c>
      <c r="F79" s="306">
        <f>C79/C87</f>
        <v>3.5714285714285712E-2</v>
      </c>
      <c r="G79" s="480">
        <f>F79+F80</f>
        <v>3.5714285714285712E-2</v>
      </c>
      <c r="I79" s="391" t="s">
        <v>43</v>
      </c>
      <c r="J79" s="305">
        <f>COUNTIFS('1. ALL DATA'!$X$5:$X$123,"PROTECTING AND STRENGTHENING COMMUNITIES",'1. ALL DATA'!$M$5:$M$123,"Completed behind schedule")</f>
        <v>1</v>
      </c>
      <c r="K79" s="306">
        <f>J79/J86</f>
        <v>2.7777777777777776E-2</v>
      </c>
      <c r="L79" s="478">
        <f>K79+K80</f>
        <v>2.7777777777777776E-2</v>
      </c>
      <c r="M79" s="306">
        <f>J79/J87</f>
        <v>3.0303030303030304E-2</v>
      </c>
      <c r="N79" s="480">
        <f>M79+M80</f>
        <v>3.0303030303030304E-2</v>
      </c>
      <c r="P79" s="391" t="s">
        <v>43</v>
      </c>
      <c r="Q79" s="305">
        <f>COUNTIFS('1. ALL DATA'!$X$5:$X$123,"PROTECTING AND STRENGTHENING COMMUNITIES",'1. ALL DATA'!$R$5:$R$123,"Completed behind schedule")</f>
        <v>1</v>
      </c>
      <c r="R79" s="306">
        <f>Q79/Q86</f>
        <v>2.7777777777777776E-2</v>
      </c>
      <c r="S79" s="478">
        <f>R79+R80</f>
        <v>2.7777777777777776E-2</v>
      </c>
      <c r="T79" s="306">
        <f>Q79/Q87</f>
        <v>2.7777777777777776E-2</v>
      </c>
      <c r="U79" s="480">
        <f>T79+T80</f>
        <v>2.7777777777777776E-2</v>
      </c>
      <c r="W79" s="391" t="s">
        <v>86</v>
      </c>
      <c r="X79" s="307">
        <f>COUNTIFS('1. ALL DATA'!$X$5:$X$123,"PROTECTING AND STRENGTHENING COMMUNITIES",'1. ALL DATA'!$V$5:$V$123,"Completed Significantly After Target Deadline")</f>
        <v>0</v>
      </c>
      <c r="Y79" s="306">
        <f>X79/$X$86</f>
        <v>0</v>
      </c>
      <c r="Z79" s="478">
        <f>Y79+Y80</f>
        <v>0</v>
      </c>
      <c r="AA79" s="306" t="e">
        <f>X79/$X$87</f>
        <v>#DIV/0!</v>
      </c>
      <c r="AB79" s="480" t="e">
        <f>AA79+AA80</f>
        <v>#DIV/0!</v>
      </c>
    </row>
    <row r="80" spans="2:28" ht="30" hidden="1" customHeight="1">
      <c r="B80" s="389" t="s">
        <v>28</v>
      </c>
      <c r="C80" s="305">
        <f>COUNTIFS('1. ALL DATA'!$X$5:$X$123,"PROTECTING AND STRENGTHENING COMMUNITIES",'1. ALL DATA'!$H$5:$H$123,"Off target")</f>
        <v>0</v>
      </c>
      <c r="D80" s="306">
        <f>C80/C86</f>
        <v>0</v>
      </c>
      <c r="E80" s="478"/>
      <c r="F80" s="306">
        <f>C80/C87</f>
        <v>0</v>
      </c>
      <c r="G80" s="480"/>
      <c r="I80" s="391" t="s">
        <v>28</v>
      </c>
      <c r="J80" s="305">
        <f>COUNTIFS('1. ALL DATA'!$X$5:$X$123,"PROTECTING AND STRENGTHENING COMMUNITIES",'1. ALL DATA'!$M$5:$M$123,"Off target")</f>
        <v>0</v>
      </c>
      <c r="K80" s="306">
        <f>J80/J86</f>
        <v>0</v>
      </c>
      <c r="L80" s="478"/>
      <c r="M80" s="306">
        <f>J80/J87</f>
        <v>0</v>
      </c>
      <c r="N80" s="480"/>
      <c r="P80" s="391" t="s">
        <v>28</v>
      </c>
      <c r="Q80" s="305">
        <f>COUNTIFS('1. ALL DATA'!$X$5:$X$123,"PROTECTING AND STRENGTHENING COMMUNITIES",'1. ALL DATA'!$R$5:$R$123,"Off target")</f>
        <v>0</v>
      </c>
      <c r="R80" s="306">
        <f>Q80/Q86</f>
        <v>0</v>
      </c>
      <c r="S80" s="478"/>
      <c r="T80" s="306">
        <f>Q80/Q87</f>
        <v>0</v>
      </c>
      <c r="U80" s="480"/>
      <c r="W80" s="391" t="s">
        <v>28</v>
      </c>
      <c r="X80" s="307">
        <f>COUNTIFS('1. ALL DATA'!$X$5:$X$123,"PROTECTING AND STRENGTHENING COMMUNITIES",'1. ALL DATA'!$V$5:$V$123,"Off Target")</f>
        <v>0</v>
      </c>
      <c r="Y80" s="306">
        <f>X80/$X$86</f>
        <v>0</v>
      </c>
      <c r="Z80" s="478"/>
      <c r="AA80" s="306" t="e">
        <f>X80/$X$87</f>
        <v>#DIV/0!</v>
      </c>
      <c r="AB80" s="480"/>
    </row>
    <row r="81" spans="2:28" ht="5.25" hidden="1" customHeight="1">
      <c r="B81" s="53"/>
      <c r="C81" s="308"/>
      <c r="D81" s="212"/>
      <c r="E81" s="212"/>
      <c r="F81" s="212"/>
      <c r="G81" s="98"/>
      <c r="I81" s="56"/>
      <c r="J81" s="308"/>
      <c r="K81" s="212"/>
      <c r="L81" s="212"/>
      <c r="M81" s="212"/>
      <c r="N81" s="98"/>
      <c r="P81" s="56"/>
      <c r="Q81" s="308"/>
      <c r="R81" s="212"/>
      <c r="S81" s="212"/>
      <c r="T81" s="212"/>
      <c r="U81" s="98"/>
      <c r="W81" s="328"/>
      <c r="X81" s="329"/>
      <c r="Y81" s="324"/>
      <c r="Z81" s="324"/>
      <c r="AA81" s="325"/>
      <c r="AB81" s="261"/>
    </row>
    <row r="82" spans="2:28" ht="15.75" hidden="1" customHeight="1">
      <c r="B82" s="48" t="s">
        <v>2</v>
      </c>
      <c r="C82" s="317">
        <f>COUNTIFS('1. ALL DATA'!$X$5:$X$123,"PROTECTING AND STRENGTHENING COMMUNITIES",'1. ALL DATA'!$H$5:$H$123,"Not yet due")</f>
        <v>8</v>
      </c>
      <c r="D82" s="300">
        <f>C82/C86</f>
        <v>0.22222222222222221</v>
      </c>
      <c r="E82" s="300">
        <f>D82</f>
        <v>0.22222222222222221</v>
      </c>
      <c r="F82" s="51"/>
      <c r="G82" s="47"/>
      <c r="I82" s="332" t="s">
        <v>2</v>
      </c>
      <c r="J82" s="317">
        <f>COUNTIFS('1. ALL DATA'!$X$5:$X$123,"PROTECTING AND STRENGTHENING COMMUNITIES",'1. ALL DATA'!$M$5:$M$123,"Not yet due")</f>
        <v>3</v>
      </c>
      <c r="K82" s="300">
        <f>J82/J86</f>
        <v>8.3333333333333329E-2</v>
      </c>
      <c r="L82" s="300">
        <f>K82</f>
        <v>8.3333333333333329E-2</v>
      </c>
      <c r="M82" s="51"/>
      <c r="N82" s="47"/>
      <c r="P82" s="332" t="s">
        <v>2</v>
      </c>
      <c r="Q82" s="317">
        <f>COUNTIFS('1. ALL DATA'!$X$5:$X$123,"PROTECTING AND STRENGTHENING COMMUNITIES",'1. ALL DATA'!$R$5:$R$123,"Not yet due")</f>
        <v>0</v>
      </c>
      <c r="R82" s="300">
        <f>Q82/Q86</f>
        <v>0</v>
      </c>
      <c r="S82" s="300">
        <f>R82</f>
        <v>0</v>
      </c>
      <c r="T82" s="51"/>
      <c r="U82" s="99"/>
      <c r="W82" s="353" t="s">
        <v>2</v>
      </c>
      <c r="X82" s="317">
        <f>COUNTIFS('1. ALL DATA'!$X$5:$X$123,"PROTECTING AND STRENGTHENING COMMUNITIES",'1. ALL DATA'!$V$5:$V$123,"not yet due")</f>
        <v>0</v>
      </c>
      <c r="Y82" s="300">
        <f>X82/$X$86</f>
        <v>0</v>
      </c>
      <c r="Z82" s="300">
        <f>Y82</f>
        <v>0</v>
      </c>
      <c r="AA82" s="51"/>
      <c r="AB82" s="258"/>
    </row>
    <row r="83" spans="2:28" ht="15.75" hidden="1" customHeight="1">
      <c r="B83" s="48" t="s">
        <v>47</v>
      </c>
      <c r="C83" s="317">
        <f>COUNTIFS('1. ALL DATA'!$X$5:$X$123,"PROTECTING AND STRENGTHENING COMMUNITIES",'1. ALL DATA'!$H$5:$H$123,"Update not provided")</f>
        <v>0</v>
      </c>
      <c r="D83" s="300">
        <f>C83/C86</f>
        <v>0</v>
      </c>
      <c r="E83" s="300">
        <f>D83</f>
        <v>0</v>
      </c>
      <c r="F83" s="51"/>
      <c r="G83" s="104"/>
      <c r="I83" s="332" t="s">
        <v>47</v>
      </c>
      <c r="J83" s="317">
        <f>COUNTIFS('1. ALL DATA'!$X$5:$X$123,"PROTECTING AND STRENGTHENING COMMUNITIES",'1. ALL DATA'!$M$5:$M$123,"Update not provided")</f>
        <v>0</v>
      </c>
      <c r="K83" s="300">
        <f>J83/J86</f>
        <v>0</v>
      </c>
      <c r="L83" s="300">
        <f>K83</f>
        <v>0</v>
      </c>
      <c r="M83" s="51"/>
      <c r="N83" s="104"/>
      <c r="P83" s="332" t="s">
        <v>47</v>
      </c>
      <c r="Q83" s="317">
        <f>COUNTIFS('1. ALL DATA'!$X$5:$X$123,"PROTECTING AND STRENGTHENING COMMUNITIES",'1. ALL DATA'!$R$5:$R$123,"Update not provided")</f>
        <v>0</v>
      </c>
      <c r="R83" s="300">
        <f>Q83/Q86</f>
        <v>0</v>
      </c>
      <c r="S83" s="300">
        <f>R83</f>
        <v>0</v>
      </c>
      <c r="T83" s="51"/>
      <c r="U83" s="100"/>
      <c r="W83" s="354" t="s">
        <v>47</v>
      </c>
      <c r="X83" s="317">
        <f>COUNTIFS('1. ALL DATA'!$X$5:$X$123,"PROTECTING AND STRENGTHENING COMMUNITIES",'1. ALL DATA'!$V$5:$V$123,"update not provided")</f>
        <v>36</v>
      </c>
      <c r="Y83" s="300">
        <f>X83/$X$86</f>
        <v>1</v>
      </c>
      <c r="Z83" s="300">
        <f>Y83</f>
        <v>1</v>
      </c>
      <c r="AA83" s="51"/>
    </row>
    <row r="84" spans="2:28" ht="15.75" hidden="1" customHeight="1">
      <c r="B84" s="49" t="s">
        <v>23</v>
      </c>
      <c r="C84" s="317">
        <f>COUNTIFS('1. ALL DATA'!$X$5:$X$123,"PROTECTING AND STRENGTHENING COMMUNITIES",'1. ALL DATA'!$H$5:$H$123,"Deferred")</f>
        <v>0</v>
      </c>
      <c r="D84" s="301">
        <f>C84/C86</f>
        <v>0</v>
      </c>
      <c r="E84" s="301">
        <f>D84</f>
        <v>0</v>
      </c>
      <c r="F84" s="46"/>
      <c r="G84" s="47"/>
      <c r="I84" s="333" t="s">
        <v>23</v>
      </c>
      <c r="J84" s="317">
        <f>COUNTIFS('1. ALL DATA'!$X$5:$X$123,"PROTECTING AND STRENGTHENING COMMUNITIES",'1. ALL DATA'!$M$5:$M$123,"Deferred")</f>
        <v>0</v>
      </c>
      <c r="K84" s="301">
        <f>J84/J86</f>
        <v>0</v>
      </c>
      <c r="L84" s="301">
        <f>K84</f>
        <v>0</v>
      </c>
      <c r="M84" s="46"/>
      <c r="N84" s="47"/>
      <c r="P84" s="333" t="s">
        <v>23</v>
      </c>
      <c r="Q84" s="317">
        <f>COUNTIFS('1. ALL DATA'!$X$5:$X$123,"PROTECTING AND STRENGTHENING COMMUNITIES",'1. ALL DATA'!$R$5:$R$123,"Deferred")</f>
        <v>0</v>
      </c>
      <c r="R84" s="301">
        <f>Q84/Q86</f>
        <v>0</v>
      </c>
      <c r="S84" s="301">
        <f>R84</f>
        <v>0</v>
      </c>
      <c r="T84" s="46"/>
      <c r="U84" s="99"/>
      <c r="W84" s="355" t="s">
        <v>23</v>
      </c>
      <c r="X84" s="317">
        <f>COUNTIFS('1. ALL DATA'!$X$5:$X$123,"PROTECTING AND STRENGTHENING COMMUNITIES",'1. ALL DATA'!$V$5:$V$123,"Deferred")</f>
        <v>0</v>
      </c>
      <c r="Y84" s="301">
        <f>X84/$X$86</f>
        <v>0</v>
      </c>
      <c r="Z84" s="301">
        <f>Y84</f>
        <v>0</v>
      </c>
      <c r="AA84" s="46"/>
      <c r="AB84" s="258"/>
    </row>
    <row r="85" spans="2:28" ht="15.75" hidden="1" customHeight="1">
      <c r="B85" s="49" t="s">
        <v>29</v>
      </c>
      <c r="C85" s="317">
        <f>COUNTIFS('1. ALL DATA'!$X$5:$X$123,"PROTECTING AND STRENGTHENING COMMUNITIES",'1. ALL DATA'!$H$5:$H$123,"Deleted")</f>
        <v>0</v>
      </c>
      <c r="D85" s="301">
        <f>C85/C86</f>
        <v>0</v>
      </c>
      <c r="E85" s="301">
        <f>D85</f>
        <v>0</v>
      </c>
      <c r="F85" s="46"/>
      <c r="G85" s="259" t="s">
        <v>63</v>
      </c>
      <c r="I85" s="333" t="s">
        <v>29</v>
      </c>
      <c r="J85" s="317">
        <f>COUNTIFS('1. ALL DATA'!$X$5:$X$123,"PROTECTING AND STRENGTHENING COMMUNITIES",'1. ALL DATA'!$M$5:$M$123,"Deleted")</f>
        <v>0</v>
      </c>
      <c r="K85" s="301">
        <f>J85/J86</f>
        <v>0</v>
      </c>
      <c r="L85" s="301">
        <f>K85</f>
        <v>0</v>
      </c>
      <c r="M85" s="46"/>
      <c r="N85" s="259" t="s">
        <v>63</v>
      </c>
      <c r="P85" s="333" t="s">
        <v>29</v>
      </c>
      <c r="Q85" s="317">
        <f>COUNTIFS('1. ALL DATA'!$X$5:$X$123,"PROTECTING AND STRENGTHENING COMMUNITIES",'1. ALL DATA'!$R$5:$R$123,"Deleted")</f>
        <v>0</v>
      </c>
      <c r="R85" s="301">
        <f>Q85/Q86</f>
        <v>0</v>
      </c>
      <c r="S85" s="301">
        <f>R85</f>
        <v>0</v>
      </c>
      <c r="T85" s="46"/>
      <c r="U85" s="259" t="s">
        <v>63</v>
      </c>
      <c r="W85" s="355" t="s">
        <v>29</v>
      </c>
      <c r="X85" s="317">
        <f>COUNTIFS('1. ALL DATA'!$X$5:$X$123,"PROTECTING AND STRENGTHENING COMMUNITIES",'1. ALL DATA'!$V$5:$V$123,"Deleted")</f>
        <v>0</v>
      </c>
      <c r="Y85" s="301">
        <f>X85/$X$86</f>
        <v>0</v>
      </c>
      <c r="Z85" s="301">
        <f>Y85</f>
        <v>0</v>
      </c>
      <c r="AA85" s="46"/>
      <c r="AB85" s="259"/>
    </row>
    <row r="86" spans="2:28" ht="15.75" hidden="1" customHeight="1">
      <c r="B86" s="50" t="s">
        <v>31</v>
      </c>
      <c r="C86" s="319">
        <f>SUM(C72:C85)</f>
        <v>36</v>
      </c>
      <c r="D86" s="46"/>
      <c r="E86" s="46"/>
      <c r="F86" s="47"/>
      <c r="G86" s="47"/>
      <c r="I86" s="334" t="s">
        <v>31</v>
      </c>
      <c r="J86" s="319">
        <f>SUM(J72:J85)</f>
        <v>36</v>
      </c>
      <c r="K86" s="46"/>
      <c r="L86" s="46"/>
      <c r="M86" s="47"/>
      <c r="N86" s="47"/>
      <c r="P86" s="334" t="s">
        <v>31</v>
      </c>
      <c r="Q86" s="319">
        <f>SUM(Q72:Q85)</f>
        <v>36</v>
      </c>
      <c r="R86" s="46"/>
      <c r="S86" s="46"/>
      <c r="T86" s="47"/>
      <c r="U86" s="99"/>
      <c r="W86" s="356" t="s">
        <v>31</v>
      </c>
      <c r="X86" s="319">
        <f>SUM(X72:X85)</f>
        <v>36</v>
      </c>
      <c r="Y86" s="46"/>
      <c r="Z86" s="46"/>
      <c r="AA86" s="47"/>
      <c r="AB86" s="258"/>
    </row>
    <row r="87" spans="2:28" ht="15.75" hidden="1" customHeight="1">
      <c r="B87" s="50" t="s">
        <v>32</v>
      </c>
      <c r="C87" s="319">
        <f>C86-C85-C84-C83-C82</f>
        <v>28</v>
      </c>
      <c r="D87" s="47"/>
      <c r="E87" s="47"/>
      <c r="F87" s="47"/>
      <c r="G87" s="47"/>
      <c r="I87" s="334" t="s">
        <v>32</v>
      </c>
      <c r="J87" s="319">
        <f>J86-J85-J84-J83-J82</f>
        <v>33</v>
      </c>
      <c r="K87" s="47"/>
      <c r="L87" s="47"/>
      <c r="M87" s="47"/>
      <c r="N87" s="47"/>
      <c r="P87" s="334" t="s">
        <v>32</v>
      </c>
      <c r="Q87" s="319">
        <f>Q86-Q85-Q84-Q83-Q82</f>
        <v>36</v>
      </c>
      <c r="R87" s="47"/>
      <c r="S87" s="47"/>
      <c r="T87" s="47"/>
      <c r="U87" s="99"/>
      <c r="W87" s="356" t="s">
        <v>32</v>
      </c>
      <c r="X87" s="319">
        <f>X86-X85-X84-X83-X82</f>
        <v>0</v>
      </c>
      <c r="Y87" s="47"/>
      <c r="Z87" s="47"/>
      <c r="AA87" s="47"/>
      <c r="AB87" s="259" t="s">
        <v>63</v>
      </c>
    </row>
    <row r="88" spans="2:28" ht="15.75" hidden="1" customHeight="1">
      <c r="AB88" s="258"/>
    </row>
    <row r="89" spans="2:28" ht="15.75" customHeight="1">
      <c r="AB89" s="258"/>
    </row>
  </sheetData>
  <mergeCells count="144">
    <mergeCell ref="N50:N51"/>
    <mergeCell ref="P53:P55"/>
    <mergeCell ref="Q53:Q55"/>
    <mergeCell ref="R53:R55"/>
    <mergeCell ref="P9:P11"/>
    <mergeCell ref="Z35:Z36"/>
    <mergeCell ref="AB35:AB36"/>
    <mergeCell ref="G53:G55"/>
    <mergeCell ref="U9:U11"/>
    <mergeCell ref="Z9:Z11"/>
    <mergeCell ref="G28:G29"/>
    <mergeCell ref="I31:I33"/>
    <mergeCell ref="J31:J33"/>
    <mergeCell ref="K31:K33"/>
    <mergeCell ref="L31:L33"/>
    <mergeCell ref="M31:M33"/>
    <mergeCell ref="U53:U55"/>
    <mergeCell ref="S35:S36"/>
    <mergeCell ref="U35:U36"/>
    <mergeCell ref="U31:U33"/>
    <mergeCell ref="N31:N33"/>
    <mergeCell ref="P31:P33"/>
    <mergeCell ref="Q31:Q33"/>
    <mergeCell ref="Q9:Q11"/>
    <mergeCell ref="S31:S33"/>
    <mergeCell ref="T31:T33"/>
    <mergeCell ref="B9:B11"/>
    <mergeCell ref="C9:C11"/>
    <mergeCell ref="D9:D11"/>
    <mergeCell ref="E9:E11"/>
    <mergeCell ref="F9:F11"/>
    <mergeCell ref="E6:E7"/>
    <mergeCell ref="E28:E29"/>
    <mergeCell ref="J9:J11"/>
    <mergeCell ref="K9:K11"/>
    <mergeCell ref="D31:D33"/>
    <mergeCell ref="E31:E33"/>
    <mergeCell ref="F31:F33"/>
    <mergeCell ref="G31:G33"/>
    <mergeCell ref="R31:R33"/>
    <mergeCell ref="N9:N11"/>
    <mergeCell ref="R9:R11"/>
    <mergeCell ref="S9:S11"/>
    <mergeCell ref="T9:T11"/>
    <mergeCell ref="N72:N73"/>
    <mergeCell ref="L50:L51"/>
    <mergeCell ref="L72:L73"/>
    <mergeCell ref="G6:G7"/>
    <mergeCell ref="G13:G14"/>
    <mergeCell ref="G9:G11"/>
    <mergeCell ref="B53:B55"/>
    <mergeCell ref="C53:C55"/>
    <mergeCell ref="D53:D55"/>
    <mergeCell ref="E53:E55"/>
    <mergeCell ref="F53:F55"/>
    <mergeCell ref="L9:L11"/>
    <mergeCell ref="M9:M11"/>
    <mergeCell ref="E13:E14"/>
    <mergeCell ref="E35:E36"/>
    <mergeCell ref="B31:B33"/>
    <mergeCell ref="C31:C33"/>
    <mergeCell ref="N6:N7"/>
    <mergeCell ref="N28:N29"/>
    <mergeCell ref="L6:L7"/>
    <mergeCell ref="L28:L29"/>
    <mergeCell ref="L13:L14"/>
    <mergeCell ref="N13:N14"/>
    <mergeCell ref="I9:I11"/>
    <mergeCell ref="AB6:AB7"/>
    <mergeCell ref="AB13:AB14"/>
    <mergeCell ref="Z6:Z7"/>
    <mergeCell ref="Z13:Z14"/>
    <mergeCell ref="AB9:AB11"/>
    <mergeCell ref="S50:S51"/>
    <mergeCell ref="S72:S73"/>
    <mergeCell ref="S79:S80"/>
    <mergeCell ref="U79:U80"/>
    <mergeCell ref="U50:U51"/>
    <mergeCell ref="U72:U73"/>
    <mergeCell ref="S75:S77"/>
    <mergeCell ref="T75:T77"/>
    <mergeCell ref="U75:U77"/>
    <mergeCell ref="U6:U7"/>
    <mergeCell ref="U28:U29"/>
    <mergeCell ref="S6:S7"/>
    <mergeCell ref="S28:S29"/>
    <mergeCell ref="U13:U14"/>
    <mergeCell ref="S13:S14"/>
    <mergeCell ref="Z28:Z29"/>
    <mergeCell ref="AB28:AB29"/>
    <mergeCell ref="Z31:Z33"/>
    <mergeCell ref="AB31:AB33"/>
    <mergeCell ref="E79:E80"/>
    <mergeCell ref="G79:G80"/>
    <mergeCell ref="L79:L80"/>
    <mergeCell ref="N79:N80"/>
    <mergeCell ref="G35:G36"/>
    <mergeCell ref="L35:L36"/>
    <mergeCell ref="N35:N36"/>
    <mergeCell ref="E57:E58"/>
    <mergeCell ref="G57:G58"/>
    <mergeCell ref="L57:L58"/>
    <mergeCell ref="N57:N58"/>
    <mergeCell ref="E72:E73"/>
    <mergeCell ref="E50:E51"/>
    <mergeCell ref="G50:G51"/>
    <mergeCell ref="G72:G73"/>
    <mergeCell ref="I53:I55"/>
    <mergeCell ref="J53:J55"/>
    <mergeCell ref="K53:K55"/>
    <mergeCell ref="L53:L55"/>
    <mergeCell ref="M53:M55"/>
    <mergeCell ref="N53:N55"/>
    <mergeCell ref="L75:L77"/>
    <mergeCell ref="M75:M77"/>
    <mergeCell ref="N75:N77"/>
    <mergeCell ref="B75:B77"/>
    <mergeCell ref="C75:C77"/>
    <mergeCell ref="D75:D77"/>
    <mergeCell ref="E75:E77"/>
    <mergeCell ref="F75:F77"/>
    <mergeCell ref="G75:G77"/>
    <mergeCell ref="I75:I77"/>
    <mergeCell ref="J75:J77"/>
    <mergeCell ref="K75:K77"/>
    <mergeCell ref="P75:P77"/>
    <mergeCell ref="Q75:Q77"/>
    <mergeCell ref="R75:R77"/>
    <mergeCell ref="AB75:AB77"/>
    <mergeCell ref="Z79:Z80"/>
    <mergeCell ref="AB79:AB80"/>
    <mergeCell ref="AB50:AB51"/>
    <mergeCell ref="Z53:Z55"/>
    <mergeCell ref="AB53:AB55"/>
    <mergeCell ref="Z57:Z58"/>
    <mergeCell ref="AB57:AB58"/>
    <mergeCell ref="Z72:Z73"/>
    <mergeCell ref="AB72:AB73"/>
    <mergeCell ref="Z50:Z51"/>
    <mergeCell ref="Z75:Z77"/>
    <mergeCell ref="S57:S58"/>
    <mergeCell ref="U57:U58"/>
    <mergeCell ref="S53:S55"/>
    <mergeCell ref="T53:T55"/>
  </mergeCells>
  <hyperlinks>
    <hyperlink ref="AB19" location="INDEX!A1" display="Back to index"/>
    <hyperlink ref="AB41" location="INDEX!A1" display="Back to index"/>
    <hyperlink ref="AB62" location="INDEX!A1" display="Back to index"/>
    <hyperlink ref="AB87" location="INDEX!A1" display="Back to index"/>
    <hyperlink ref="U19" location="INDEX!A1" display="Back to index"/>
    <hyperlink ref="U41" location="INDEX!A1" display="Back to index"/>
    <hyperlink ref="U63" location="INDEX!A1" display="Back to index"/>
    <hyperlink ref="U85" location="INDEX!A1" display="Back to index"/>
    <hyperlink ref="G19" location="INDEX!A1" display="Back to index"/>
    <hyperlink ref="N19" location="INDEX!A1" display="Back to index"/>
    <hyperlink ref="G41" location="INDEX!A1" display="Back to index"/>
    <hyperlink ref="N41" location="INDEX!A1" display="Back to index"/>
    <hyperlink ref="G63" location="INDEX!A1" display="Back to index"/>
    <hyperlink ref="N63" location="INDEX!A1" display="Back to index"/>
    <hyperlink ref="G85" location="INDEX!A1" display="Back to index"/>
    <hyperlink ref="N85" location="INDEX!A1" display="Back to index"/>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sheetPr>
  <dimension ref="B1:BD75"/>
  <sheetViews>
    <sheetView topLeftCell="J21" zoomScale="70" zoomScaleNormal="70" workbookViewId="0">
      <selection activeCell="J37" sqref="A37:XFD75"/>
    </sheetView>
  </sheetViews>
  <sheetFormatPr defaultColWidth="9.140625" defaultRowHeight="15"/>
  <cols>
    <col min="1" max="1" width="3.42578125" style="3" customWidth="1"/>
    <col min="2" max="9" width="9.140625" style="3"/>
    <col min="10" max="10" width="3.42578125" style="3" customWidth="1"/>
    <col min="11" max="11" width="9.140625" style="4"/>
    <col min="12" max="18" width="9.140625" style="3"/>
    <col min="19" max="19" width="3.42578125" style="3" customWidth="1"/>
    <col min="20" max="27" width="9.140625" style="3" customWidth="1"/>
    <col min="28" max="28" width="3.42578125" style="3" customWidth="1"/>
    <col min="29" max="36" width="9.140625" style="3" customWidth="1"/>
    <col min="37" max="37" width="3.42578125" style="3" customWidth="1"/>
    <col min="38" max="47" width="9.140625" style="3" customWidth="1"/>
    <col min="48" max="50" width="0" style="3" hidden="1" customWidth="1"/>
    <col min="51" max="51" width="9.140625" style="3"/>
    <col min="52" max="55" width="10" style="107" customWidth="1"/>
    <col min="56" max="16384" width="9.140625" style="3"/>
  </cols>
  <sheetData>
    <row r="1" spans="2:56" s="2" customFormat="1" ht="36" thickTop="1">
      <c r="B1" s="2" t="s">
        <v>33</v>
      </c>
      <c r="M1" s="485" t="s">
        <v>244</v>
      </c>
      <c r="N1" s="486"/>
      <c r="O1" s="486"/>
      <c r="P1" s="486"/>
      <c r="Q1" s="486"/>
      <c r="R1" s="486"/>
      <c r="S1" s="486"/>
      <c r="T1" s="486"/>
      <c r="U1" s="486"/>
      <c r="V1" s="486"/>
      <c r="W1" s="486"/>
      <c r="X1" s="486"/>
      <c r="Y1" s="486"/>
      <c r="Z1" s="487"/>
      <c r="AZ1" s="106"/>
      <c r="BA1" s="106"/>
      <c r="BB1" s="106"/>
      <c r="BC1" s="106"/>
    </row>
    <row r="2" spans="2:56" s="2" customFormat="1" ht="35.25">
      <c r="M2" s="488"/>
      <c r="N2" s="489"/>
      <c r="O2" s="489"/>
      <c r="P2" s="489"/>
      <c r="Q2" s="489"/>
      <c r="R2" s="489"/>
      <c r="S2" s="489"/>
      <c r="T2" s="489"/>
      <c r="U2" s="489"/>
      <c r="V2" s="489"/>
      <c r="W2" s="489"/>
      <c r="X2" s="489"/>
      <c r="Y2" s="489"/>
      <c r="Z2" s="490"/>
      <c r="AZ2" s="106"/>
      <c r="BA2" s="106"/>
      <c r="BB2" s="106"/>
      <c r="BC2" s="106"/>
    </row>
    <row r="3" spans="2:56" s="2" customFormat="1" ht="36" thickBot="1">
      <c r="M3" s="491"/>
      <c r="N3" s="492"/>
      <c r="O3" s="492"/>
      <c r="P3" s="492"/>
      <c r="Q3" s="492"/>
      <c r="R3" s="492"/>
      <c r="S3" s="492"/>
      <c r="T3" s="492"/>
      <c r="U3" s="492"/>
      <c r="V3" s="492"/>
      <c r="W3" s="492"/>
      <c r="X3" s="492"/>
      <c r="Y3" s="492"/>
      <c r="Z3" s="493"/>
      <c r="AZ3" s="106"/>
      <c r="BA3" s="106"/>
      <c r="BB3" s="106"/>
      <c r="BC3" s="106"/>
    </row>
    <row r="4" spans="2:56" ht="15.75" thickTop="1">
      <c r="N4" s="22" t="s">
        <v>63</v>
      </c>
      <c r="W4" s="22" t="s">
        <v>63</v>
      </c>
      <c r="AF4" s="22" t="s">
        <v>63</v>
      </c>
      <c r="AO4" s="22" t="s">
        <v>63</v>
      </c>
    </row>
    <row r="5" spans="2:56">
      <c r="AY5" s="5" t="s">
        <v>34</v>
      </c>
      <c r="AZ5" s="108"/>
      <c r="BA5" s="108"/>
      <c r="BB5" s="108"/>
      <c r="BC5" s="108"/>
      <c r="BD5" s="4"/>
    </row>
    <row r="6" spans="2:56">
      <c r="AY6" s="6"/>
      <c r="AZ6" s="109" t="s">
        <v>35</v>
      </c>
      <c r="BA6" s="109" t="s">
        <v>36</v>
      </c>
      <c r="BB6" s="109" t="s">
        <v>37</v>
      </c>
      <c r="BC6" s="109" t="s">
        <v>38</v>
      </c>
      <c r="BD6" s="4"/>
    </row>
    <row r="7" spans="2:56">
      <c r="AY7" s="7" t="s">
        <v>20</v>
      </c>
      <c r="AZ7" s="198">
        <f>'3. % BY PRIORITY'!G6</f>
        <v>0.9885057471264368</v>
      </c>
      <c r="BA7" s="198">
        <f>'3. % BY PRIORITY'!N6</f>
        <v>0.99038461538461542</v>
      </c>
      <c r="BB7" s="198">
        <f>'3. % BY PRIORITY'!U6</f>
        <v>0.9642857142857143</v>
      </c>
      <c r="BC7" s="198" t="e">
        <f>'3. % BY PRIORITY'!AB6</f>
        <v>#DIV/0!</v>
      </c>
      <c r="BD7" s="4"/>
    </row>
    <row r="8" spans="2:56">
      <c r="L8" s="8"/>
      <c r="M8" s="8"/>
      <c r="AY8" s="7" t="s">
        <v>21</v>
      </c>
      <c r="AZ8" s="198">
        <f>'3. % BY PRIORITY'!G9</f>
        <v>0</v>
      </c>
      <c r="BA8" s="198">
        <f>'3. % BY PRIORITY'!N9</f>
        <v>0</v>
      </c>
      <c r="BB8" s="198">
        <f>'3. % BY PRIORITY'!U9</f>
        <v>2.6785714285714284E-2</v>
      </c>
      <c r="BC8" s="198" t="e">
        <f>'3. % BY PRIORITY'!AB9</f>
        <v>#DIV/0!</v>
      </c>
      <c r="BD8" s="4"/>
    </row>
    <row r="9" spans="2:56">
      <c r="L9" s="8"/>
      <c r="M9" s="8"/>
      <c r="AY9" s="7" t="s">
        <v>22</v>
      </c>
      <c r="AZ9" s="198">
        <f>'3. % BY PRIORITY'!G13</f>
        <v>1.1494252873563218E-2</v>
      </c>
      <c r="BA9" s="198">
        <f>'3. % BY PRIORITY'!N13</f>
        <v>9.6153846153846159E-3</v>
      </c>
      <c r="BB9" s="198">
        <f>'3. % BY PRIORITY'!U13</f>
        <v>8.9285714285714281E-3</v>
      </c>
      <c r="BC9" s="198" t="e">
        <f>'3. % BY PRIORITY'!AB13</f>
        <v>#DIV/0!</v>
      </c>
      <c r="BD9" s="4"/>
    </row>
    <row r="10" spans="2:56">
      <c r="L10" s="8"/>
      <c r="M10" s="8"/>
      <c r="AY10" s="6"/>
      <c r="AZ10" s="110"/>
      <c r="BA10" s="110"/>
      <c r="BB10" s="110"/>
      <c r="BC10" s="110"/>
      <c r="BD10" s="4"/>
    </row>
    <row r="11" spans="2:56">
      <c r="AY11" s="9"/>
      <c r="AZ11" s="111"/>
      <c r="BA11" s="111"/>
      <c r="BB11" s="112"/>
      <c r="BC11" s="112"/>
      <c r="BD11" s="4"/>
    </row>
    <row r="12" spans="2:56">
      <c r="AY12" s="9"/>
      <c r="AZ12" s="111"/>
      <c r="BA12" s="111"/>
      <c r="BB12" s="112"/>
      <c r="BC12" s="112"/>
      <c r="BD12" s="4"/>
    </row>
    <row r="13" spans="2:56">
      <c r="AY13" s="9"/>
      <c r="AZ13" s="111"/>
      <c r="BA13" s="111"/>
      <c r="BB13" s="112"/>
      <c r="BC13" s="112"/>
      <c r="BD13" s="4"/>
    </row>
    <row r="14" spans="2:56">
      <c r="AY14" s="4"/>
      <c r="AZ14" s="108"/>
      <c r="BA14" s="108"/>
      <c r="BB14" s="108"/>
      <c r="BC14" s="108"/>
      <c r="BD14" s="4"/>
    </row>
    <row r="15" spans="2:56">
      <c r="AY15" s="4"/>
      <c r="AZ15" s="108"/>
      <c r="BA15" s="108"/>
      <c r="BB15" s="108"/>
      <c r="BC15" s="108"/>
      <c r="BD15" s="4"/>
    </row>
    <row r="16" spans="2:56">
      <c r="AY16" s="4"/>
      <c r="AZ16" s="108"/>
      <c r="BA16" s="108"/>
      <c r="BB16" s="108"/>
      <c r="BC16" s="108"/>
      <c r="BD16" s="4"/>
    </row>
    <row r="17" spans="12:56">
      <c r="AY17" s="4"/>
      <c r="AZ17" s="108"/>
      <c r="BA17" s="108"/>
      <c r="BB17" s="108"/>
      <c r="BC17" s="108"/>
      <c r="BD17" s="4"/>
    </row>
    <row r="18" spans="12:56">
      <c r="AY18" s="4"/>
      <c r="AZ18" s="108"/>
      <c r="BA18" s="108"/>
      <c r="BB18" s="108"/>
      <c r="BC18" s="108"/>
      <c r="BD18" s="4"/>
    </row>
    <row r="19" spans="12:56">
      <c r="AY19" s="4"/>
      <c r="AZ19" s="108"/>
      <c r="BA19" s="108"/>
      <c r="BB19" s="108"/>
      <c r="BC19" s="108"/>
      <c r="BD19" s="4"/>
    </row>
    <row r="20" spans="12:56">
      <c r="N20" s="22" t="s">
        <v>63</v>
      </c>
      <c r="W20" s="22" t="s">
        <v>63</v>
      </c>
      <c r="AF20" s="22" t="s">
        <v>63</v>
      </c>
      <c r="AO20" s="22" t="s">
        <v>63</v>
      </c>
      <c r="AY20" s="4"/>
      <c r="AZ20" s="108"/>
      <c r="BA20" s="108"/>
      <c r="BB20" s="108"/>
      <c r="BC20" s="108"/>
      <c r="BD20" s="4"/>
    </row>
    <row r="21" spans="12:56">
      <c r="AY21" s="5" t="s">
        <v>232</v>
      </c>
      <c r="AZ21" s="108"/>
      <c r="BA21" s="108"/>
      <c r="BB21" s="108"/>
      <c r="BC21" s="108"/>
      <c r="BD21" s="4"/>
    </row>
    <row r="22" spans="12:56">
      <c r="AY22" s="6"/>
      <c r="AZ22" s="109" t="s">
        <v>35</v>
      </c>
      <c r="BA22" s="109" t="s">
        <v>36</v>
      </c>
      <c r="BB22" s="109" t="s">
        <v>37</v>
      </c>
      <c r="BC22" s="109" t="s">
        <v>38</v>
      </c>
      <c r="BD22" s="4"/>
    </row>
    <row r="23" spans="12:56">
      <c r="AY23" s="7" t="s">
        <v>20</v>
      </c>
      <c r="AZ23" s="198">
        <f>'3. % BY PRIORITY'!G28</f>
        <v>1</v>
      </c>
      <c r="BA23" s="198">
        <f>'3. % BY PRIORITY'!N28</f>
        <v>1</v>
      </c>
      <c r="BB23" s="198">
        <f>'3. % BY PRIORITY'!U28</f>
        <v>0.98245614035087714</v>
      </c>
      <c r="BC23" s="198" t="e">
        <f>'3. % BY PRIORITY'!AB28</f>
        <v>#DIV/0!</v>
      </c>
      <c r="BD23" s="4"/>
    </row>
    <row r="24" spans="12:56">
      <c r="L24" s="8"/>
      <c r="M24" s="8"/>
      <c r="AY24" s="7" t="s">
        <v>21</v>
      </c>
      <c r="AZ24" s="198">
        <f>'3. % BY PRIORITY'!G31</f>
        <v>0</v>
      </c>
      <c r="BA24" s="198">
        <f>'3. % BY PRIORITY'!N31</f>
        <v>0</v>
      </c>
      <c r="BB24" s="198">
        <f>'3. % BY PRIORITY'!U31</f>
        <v>1.7543859649122806E-2</v>
      </c>
      <c r="BC24" s="198" t="e">
        <f>'3. % BY PRIORITY'!AB31</f>
        <v>#DIV/0!</v>
      </c>
      <c r="BD24" s="4"/>
    </row>
    <row r="25" spans="12:56">
      <c r="L25" s="8"/>
      <c r="M25" s="8"/>
      <c r="AY25" s="7" t="s">
        <v>22</v>
      </c>
      <c r="AZ25" s="198">
        <f>'3. % BY PRIORITY'!G35</f>
        <v>0</v>
      </c>
      <c r="BA25" s="198">
        <f>'3. % BY PRIORITY'!N35</f>
        <v>0</v>
      </c>
      <c r="BB25" s="198">
        <f>'3. % BY PRIORITY'!U35</f>
        <v>0</v>
      </c>
      <c r="BC25" s="198" t="e">
        <f>'3. % BY PRIORITY'!AB35</f>
        <v>#DIV/0!</v>
      </c>
      <c r="BD25" s="4"/>
    </row>
    <row r="26" spans="12:56">
      <c r="L26" s="8"/>
      <c r="M26" s="8"/>
      <c r="AY26" s="4"/>
      <c r="AZ26" s="108"/>
      <c r="BA26" s="108"/>
      <c r="BB26" s="108"/>
      <c r="BC26" s="108"/>
      <c r="BD26" s="4"/>
    </row>
    <row r="27" spans="12:56">
      <c r="AY27" s="9"/>
      <c r="AZ27" s="108"/>
      <c r="BA27" s="108"/>
      <c r="BB27" s="108"/>
      <c r="BC27" s="108"/>
      <c r="BD27" s="4"/>
    </row>
    <row r="28" spans="12:56">
      <c r="AY28" s="9"/>
      <c r="AZ28" s="108"/>
      <c r="BA28" s="108"/>
      <c r="BB28" s="108"/>
      <c r="BC28" s="108"/>
      <c r="BD28" s="4"/>
    </row>
    <row r="29" spans="12:56">
      <c r="AY29" s="9"/>
      <c r="AZ29" s="108"/>
      <c r="BA29" s="108"/>
      <c r="BB29" s="108"/>
      <c r="BC29" s="108"/>
      <c r="BD29" s="4"/>
    </row>
    <row r="30" spans="12:56">
      <c r="AY30" s="4"/>
      <c r="AZ30" s="108"/>
      <c r="BA30" s="108"/>
      <c r="BB30" s="108"/>
      <c r="BC30" s="108"/>
      <c r="BD30" s="4"/>
    </row>
    <row r="31" spans="12:56">
      <c r="AY31" s="4"/>
      <c r="AZ31" s="108"/>
      <c r="BA31" s="108"/>
      <c r="BB31" s="108"/>
      <c r="BC31" s="108"/>
      <c r="BD31" s="4"/>
    </row>
    <row r="32" spans="12:56">
      <c r="AY32" s="4"/>
      <c r="AZ32" s="108"/>
      <c r="BA32" s="108"/>
      <c r="BB32" s="108"/>
      <c r="BC32" s="108"/>
      <c r="BD32" s="4"/>
    </row>
    <row r="33" spans="11:56">
      <c r="AY33" s="4"/>
      <c r="AZ33" s="108"/>
      <c r="BA33" s="108"/>
      <c r="BB33" s="108"/>
      <c r="BC33" s="108"/>
      <c r="BD33" s="4"/>
    </row>
    <row r="34" spans="11:56">
      <c r="AY34" s="4"/>
      <c r="AZ34" s="108"/>
      <c r="BA34" s="108"/>
      <c r="BB34" s="108"/>
      <c r="BC34" s="108"/>
      <c r="BD34" s="4"/>
    </row>
    <row r="35" spans="11:56">
      <c r="AY35" s="4"/>
      <c r="AZ35" s="108"/>
      <c r="BA35" s="108"/>
      <c r="BB35" s="108"/>
      <c r="BC35" s="108"/>
      <c r="BD35" s="4"/>
    </row>
    <row r="36" spans="11:56">
      <c r="N36" s="22" t="s">
        <v>63</v>
      </c>
      <c r="W36" s="22" t="s">
        <v>63</v>
      </c>
      <c r="AF36" s="22" t="s">
        <v>63</v>
      </c>
      <c r="AO36" s="22" t="s">
        <v>63</v>
      </c>
      <c r="AY36" s="4"/>
      <c r="AZ36" s="108"/>
      <c r="BA36" s="108"/>
      <c r="BB36" s="108"/>
      <c r="BC36" s="108"/>
      <c r="BD36" s="4"/>
    </row>
    <row r="37" spans="11:56" hidden="1">
      <c r="AY37" s="5" t="s">
        <v>233</v>
      </c>
      <c r="AZ37" s="113"/>
      <c r="BA37" s="113"/>
      <c r="BB37" s="113"/>
      <c r="BC37" s="113"/>
      <c r="BD37" s="10"/>
    </row>
    <row r="38" spans="11:56" hidden="1">
      <c r="AY38" s="11"/>
      <c r="AZ38" s="109" t="s">
        <v>35</v>
      </c>
      <c r="BA38" s="109" t="s">
        <v>36</v>
      </c>
      <c r="BB38" s="109" t="s">
        <v>37</v>
      </c>
      <c r="BC38" s="109" t="s">
        <v>38</v>
      </c>
      <c r="BD38" s="10"/>
    </row>
    <row r="39" spans="11:56" hidden="1">
      <c r="AY39" s="7" t="s">
        <v>20</v>
      </c>
      <c r="AZ39" s="198">
        <f>'3. % BY PRIORITY'!G50</f>
        <v>1</v>
      </c>
      <c r="BA39" s="198">
        <f>'3. % BY PRIORITY'!N50</f>
        <v>1</v>
      </c>
      <c r="BB39" s="198">
        <f>'3. % BY PRIORITY'!U50</f>
        <v>0.94736842105263153</v>
      </c>
      <c r="BC39" s="198" t="e">
        <f>'3. % BY PRIORITY'!AB50</f>
        <v>#DIV/0!</v>
      </c>
      <c r="BD39" s="10"/>
    </row>
    <row r="40" spans="11:56" hidden="1">
      <c r="K40" s="8"/>
      <c r="L40" s="8"/>
      <c r="AY40" s="7" t="s">
        <v>21</v>
      </c>
      <c r="AZ40" s="198">
        <f>'3. % BY PRIORITY'!G53</f>
        <v>0</v>
      </c>
      <c r="BA40" s="198">
        <f>'3. % BY PRIORITY'!N53</f>
        <v>0</v>
      </c>
      <c r="BB40" s="198">
        <f>'3. % BY PRIORITY'!U53</f>
        <v>5.2631578947368418E-2</v>
      </c>
      <c r="BC40" s="198" t="e">
        <f>'3. % BY PRIORITY'!AB53</f>
        <v>#DIV/0!</v>
      </c>
      <c r="BD40" s="10"/>
    </row>
    <row r="41" spans="11:56" hidden="1">
      <c r="K41" s="8"/>
      <c r="L41" s="8"/>
      <c r="AY41" s="7" t="s">
        <v>22</v>
      </c>
      <c r="AZ41" s="198">
        <f>'3. % BY PRIORITY'!G57</f>
        <v>0</v>
      </c>
      <c r="BA41" s="198">
        <f>'3. % BY PRIORITY'!N57</f>
        <v>0</v>
      </c>
      <c r="BB41" s="198">
        <f>'3. % BY PRIORITY'!U57</f>
        <v>0</v>
      </c>
      <c r="BC41" s="198" t="e">
        <f>'3. % BY PRIORITY'!AB57</f>
        <v>#DIV/0!</v>
      </c>
      <c r="BD41" s="10"/>
    </row>
    <row r="42" spans="11:56" hidden="1">
      <c r="K42" s="8"/>
      <c r="L42" s="8"/>
      <c r="AY42" s="4"/>
      <c r="AZ42" s="108"/>
      <c r="BA42" s="108"/>
      <c r="BB42" s="108"/>
      <c r="BC42" s="108"/>
      <c r="BD42" s="4"/>
    </row>
    <row r="43" spans="11:56" hidden="1">
      <c r="AY43" s="9"/>
      <c r="AZ43" s="108"/>
      <c r="BA43" s="108"/>
      <c r="BB43" s="108"/>
      <c r="BC43" s="108"/>
      <c r="BD43" s="4"/>
    </row>
    <row r="44" spans="11:56" hidden="1">
      <c r="AY44" s="9"/>
      <c r="AZ44" s="108"/>
      <c r="BA44" s="108"/>
      <c r="BB44" s="108"/>
      <c r="BC44" s="108"/>
      <c r="BD44" s="4"/>
    </row>
    <row r="45" spans="11:56" hidden="1">
      <c r="AY45" s="9"/>
      <c r="AZ45" s="108"/>
      <c r="BA45" s="108"/>
      <c r="BB45" s="108"/>
      <c r="BC45" s="108"/>
      <c r="BD45" s="4"/>
    </row>
    <row r="46" spans="11:56" hidden="1">
      <c r="AY46" s="4"/>
      <c r="AZ46" s="108"/>
      <c r="BA46" s="108"/>
      <c r="BB46" s="108"/>
      <c r="BC46" s="108"/>
      <c r="BD46" s="4"/>
    </row>
    <row r="47" spans="11:56" hidden="1">
      <c r="AY47" s="4"/>
      <c r="AZ47" s="108"/>
      <c r="BA47" s="108"/>
      <c r="BB47" s="108"/>
      <c r="BC47" s="108"/>
      <c r="BD47" s="4"/>
    </row>
    <row r="48" spans="11:56" hidden="1">
      <c r="AY48" s="4"/>
      <c r="AZ48" s="108"/>
      <c r="BA48" s="108"/>
      <c r="BB48" s="108"/>
      <c r="BC48" s="108"/>
      <c r="BD48" s="4"/>
    </row>
    <row r="49" spans="12:56" hidden="1">
      <c r="AY49" s="4"/>
      <c r="AZ49" s="108"/>
      <c r="BA49" s="108"/>
      <c r="BB49" s="108"/>
      <c r="BC49" s="108"/>
      <c r="BD49" s="4"/>
    </row>
    <row r="50" spans="12:56" hidden="1">
      <c r="AY50" s="4"/>
      <c r="AZ50" s="108"/>
      <c r="BA50" s="108"/>
      <c r="BB50" s="108"/>
      <c r="BC50" s="108"/>
      <c r="BD50" s="4"/>
    </row>
    <row r="51" spans="12:56" hidden="1">
      <c r="AY51" s="4"/>
      <c r="AZ51" s="108"/>
      <c r="BA51" s="108"/>
      <c r="BB51" s="108"/>
      <c r="BC51" s="108"/>
      <c r="BD51" s="4"/>
    </row>
    <row r="52" spans="12:56" hidden="1">
      <c r="N52" s="22" t="s">
        <v>63</v>
      </c>
      <c r="W52" s="22" t="s">
        <v>63</v>
      </c>
      <c r="AF52" s="22" t="s">
        <v>63</v>
      </c>
      <c r="AP52" s="22" t="s">
        <v>63</v>
      </c>
      <c r="AY52" s="4"/>
      <c r="AZ52" s="108"/>
      <c r="BA52" s="108"/>
      <c r="BB52" s="108"/>
      <c r="BC52" s="108"/>
      <c r="BD52" s="4"/>
    </row>
    <row r="53" spans="12:56" hidden="1">
      <c r="AY53" s="5" t="s">
        <v>234</v>
      </c>
      <c r="AZ53" s="113"/>
      <c r="BA53" s="113"/>
      <c r="BB53" s="113"/>
      <c r="BC53" s="113"/>
      <c r="BD53" s="4"/>
    </row>
    <row r="54" spans="12:56" hidden="1">
      <c r="AY54" s="11"/>
      <c r="AZ54" s="109" t="s">
        <v>35</v>
      </c>
      <c r="BA54" s="109" t="s">
        <v>36</v>
      </c>
      <c r="BB54" s="109" t="s">
        <v>37</v>
      </c>
      <c r="BC54" s="109" t="s">
        <v>38</v>
      </c>
      <c r="BD54" s="4"/>
    </row>
    <row r="55" spans="12:56" hidden="1">
      <c r="AY55" s="7" t="s">
        <v>20</v>
      </c>
      <c r="AZ55" s="198">
        <f>'3. % BY PRIORITY'!G72</f>
        <v>0.9642857142857143</v>
      </c>
      <c r="BA55" s="198">
        <f>'3. % BY PRIORITY'!N72</f>
        <v>0.96969696969696972</v>
      </c>
      <c r="BB55" s="198">
        <f>'3. % BY PRIORITY'!U72</f>
        <v>0.94444444444444442</v>
      </c>
      <c r="BC55" s="198" t="e">
        <f>'3. % BY PRIORITY'!AB72</f>
        <v>#DIV/0!</v>
      </c>
      <c r="BD55" s="4"/>
    </row>
    <row r="56" spans="12:56" hidden="1">
      <c r="L56" s="8"/>
      <c r="M56" s="8"/>
      <c r="AY56" s="7" t="s">
        <v>21</v>
      </c>
      <c r="AZ56" s="198">
        <f>'3. % BY PRIORITY'!G75</f>
        <v>0</v>
      </c>
      <c r="BA56" s="198">
        <f>'3. % BY PRIORITY'!N75</f>
        <v>0</v>
      </c>
      <c r="BB56" s="198">
        <f>'3. % BY PRIORITY'!U75</f>
        <v>2.7777777777777776E-2</v>
      </c>
      <c r="BC56" s="198" t="e">
        <f>'3. % BY PRIORITY'!AB75</f>
        <v>#DIV/0!</v>
      </c>
      <c r="BD56" s="4"/>
    </row>
    <row r="57" spans="12:56" hidden="1">
      <c r="L57" s="8"/>
      <c r="M57" s="8"/>
      <c r="AY57" s="7" t="s">
        <v>22</v>
      </c>
      <c r="AZ57" s="198">
        <f>'3. % BY PRIORITY'!G79</f>
        <v>3.5714285714285712E-2</v>
      </c>
      <c r="BA57" s="198">
        <f>'3. % BY PRIORITY'!N79</f>
        <v>3.0303030303030304E-2</v>
      </c>
      <c r="BB57" s="198">
        <f>'3. % BY PRIORITY'!U79</f>
        <v>2.7777777777777776E-2</v>
      </c>
      <c r="BC57" s="198" t="e">
        <f>'3. % BY PRIORITY'!AB79</f>
        <v>#DIV/0!</v>
      </c>
      <c r="BD57" s="4"/>
    </row>
    <row r="58" spans="12:56" hidden="1">
      <c r="L58" s="8"/>
      <c r="M58" s="8"/>
      <c r="AY58" s="4"/>
      <c r="AZ58" s="108"/>
      <c r="BA58" s="108"/>
      <c r="BB58" s="108"/>
      <c r="BC58" s="108"/>
      <c r="BD58" s="4"/>
    </row>
    <row r="59" spans="12:56" hidden="1">
      <c r="AY59" s="9"/>
      <c r="AZ59" s="108"/>
      <c r="BA59" s="108"/>
      <c r="BB59" s="108"/>
      <c r="BC59" s="108"/>
      <c r="BD59" s="4"/>
    </row>
    <row r="60" spans="12:56" hidden="1">
      <c r="AY60" s="9"/>
      <c r="AZ60" s="108"/>
      <c r="BA60" s="108"/>
      <c r="BB60" s="108"/>
      <c r="BC60" s="108"/>
      <c r="BD60" s="4"/>
    </row>
    <row r="61" spans="12:56" hidden="1">
      <c r="AY61" s="9"/>
      <c r="AZ61" s="108"/>
      <c r="BA61" s="108"/>
      <c r="BB61" s="108"/>
      <c r="BC61" s="108"/>
      <c r="BD61" s="4"/>
    </row>
    <row r="62" spans="12:56" hidden="1">
      <c r="AY62" s="4"/>
      <c r="AZ62" s="108"/>
      <c r="BA62" s="108"/>
      <c r="BB62" s="108"/>
      <c r="BC62" s="108"/>
      <c r="BD62" s="4"/>
    </row>
    <row r="63" spans="12:56" hidden="1">
      <c r="AY63" s="4"/>
      <c r="AZ63" s="108"/>
      <c r="BA63" s="108"/>
      <c r="BB63" s="108"/>
      <c r="BC63" s="108"/>
      <c r="BD63" s="4"/>
    </row>
    <row r="64" spans="12:56" hidden="1">
      <c r="AY64" s="4"/>
      <c r="AZ64" s="108"/>
      <c r="BA64" s="108"/>
      <c r="BB64" s="108"/>
      <c r="BC64" s="108"/>
      <c r="BD64" s="4"/>
    </row>
    <row r="65" spans="51:56" hidden="1">
      <c r="AY65" s="4"/>
      <c r="AZ65" s="108"/>
      <c r="BA65" s="108"/>
      <c r="BB65" s="108"/>
      <c r="BC65" s="108"/>
      <c r="BD65" s="4"/>
    </row>
    <row r="66" spans="51:56" hidden="1">
      <c r="AY66" s="4"/>
      <c r="AZ66" s="108"/>
      <c r="BA66" s="108"/>
      <c r="BB66" s="108"/>
      <c r="BC66" s="108"/>
      <c r="BD66" s="4"/>
    </row>
    <row r="67" spans="51:56" hidden="1"/>
    <row r="68" spans="51:56" hidden="1"/>
    <row r="69" spans="51:56" hidden="1"/>
    <row r="70" spans="51:56" hidden="1"/>
    <row r="71" spans="51:56" hidden="1"/>
    <row r="72" spans="51:56" hidden="1"/>
    <row r="73" spans="51:56" hidden="1"/>
    <row r="74" spans="51:56" hidden="1"/>
    <row r="75" spans="51:56" hidden="1"/>
  </sheetData>
  <mergeCells count="1">
    <mergeCell ref="M1:Z3"/>
  </mergeCells>
  <hyperlinks>
    <hyperlink ref="W4" location="INDEX!A1" display="Back to index"/>
    <hyperlink ref="AF4" location="INDEX!A1" display="Back to index"/>
    <hyperlink ref="AO4" location="INDEX!A1" display="Back to index"/>
    <hyperlink ref="AO20" location="INDEX!A1" display="Back to index"/>
    <hyperlink ref="AO36" location="INDEX!A1" display="Back to index"/>
    <hyperlink ref="AF20" location="INDEX!A1" display="Back to index"/>
    <hyperlink ref="AF36" location="INDEX!A1" display="Back to index"/>
    <hyperlink ref="W20" location="INDEX!A1" display="Back to index"/>
    <hyperlink ref="W36" location="INDEX!A1" display="Back to index"/>
    <hyperlink ref="W52" location="INDEX!A1" display="Back to index"/>
    <hyperlink ref="AF52" location="INDEX!A1" display="Back to index"/>
    <hyperlink ref="AP52" location="INDEX!A1" display="Back to index"/>
    <hyperlink ref="N4" location="INDEX!A1" display="Back to index"/>
    <hyperlink ref="N20" location="INDEX!A1" display="Back to index"/>
    <hyperlink ref="N36" location="INDEX!A1" display="Back to index"/>
    <hyperlink ref="N52" location="INDEX!A1" display="Back to index"/>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863D"/>
  </sheetPr>
  <dimension ref="A1:AA154"/>
  <sheetViews>
    <sheetView topLeftCell="I1" zoomScale="70" zoomScaleNormal="70" workbookViewId="0">
      <pane ySplit="1" topLeftCell="A2" activePane="bottomLeft" state="frozen"/>
      <selection pane="bottomLeft" activeCell="A156" sqref="A156"/>
    </sheetView>
  </sheetViews>
  <sheetFormatPr defaultColWidth="9.140625" defaultRowHeight="14.25"/>
  <cols>
    <col min="1" max="1" width="38.85546875" style="61" customWidth="1"/>
    <col min="2" max="2" width="13.7109375" style="61" customWidth="1"/>
    <col min="3" max="3" width="13.85546875" style="61" customWidth="1"/>
    <col min="4" max="4" width="16.28515625" style="61" customWidth="1"/>
    <col min="5" max="5" width="14.140625" style="61" customWidth="1"/>
    <col min="6" max="6" width="17.140625" style="85" customWidth="1"/>
    <col min="7" max="7" width="4.7109375" style="61" customWidth="1"/>
    <col min="8" max="8" width="40.140625" style="61" customWidth="1"/>
    <col min="9" max="12" width="17.140625" style="61" customWidth="1"/>
    <col min="13" max="13" width="17.140625" style="85" customWidth="1"/>
    <col min="14" max="14" width="4.7109375" style="61" customWidth="1"/>
    <col min="15" max="15" width="40.140625" style="61" customWidth="1"/>
    <col min="16" max="19" width="17.140625" style="61" customWidth="1"/>
    <col min="20" max="20" width="17.140625" style="95" customWidth="1"/>
    <col min="21" max="21" width="4.7109375" style="61" customWidth="1"/>
    <col min="22" max="22" width="55.28515625" style="61" customWidth="1"/>
    <col min="23" max="23" width="14.5703125" style="61" customWidth="1"/>
    <col min="24" max="26" width="17.140625" style="61" customWidth="1"/>
    <col min="27" max="27" width="17.140625" style="257" customWidth="1"/>
    <col min="28" max="16384" width="9.140625" style="61"/>
  </cols>
  <sheetData>
    <row r="1" spans="1:27" s="59" customFormat="1" ht="20.25">
      <c r="A1" s="223"/>
      <c r="B1" s="224" t="s">
        <v>14</v>
      </c>
      <c r="C1" s="225"/>
      <c r="D1" s="225"/>
      <c r="E1" s="225"/>
      <c r="F1" s="226"/>
      <c r="H1" s="224" t="s">
        <v>15</v>
      </c>
      <c r="I1" s="227"/>
      <c r="J1" s="223"/>
      <c r="K1" s="223"/>
      <c r="L1" s="223"/>
      <c r="M1" s="228"/>
      <c r="O1" s="223" t="s">
        <v>16</v>
      </c>
      <c r="P1" s="223"/>
      <c r="Q1" s="223"/>
      <c r="R1" s="223"/>
      <c r="S1" s="223"/>
      <c r="T1" s="229"/>
      <c r="V1" s="223" t="s">
        <v>17</v>
      </c>
      <c r="W1" s="223"/>
      <c r="X1" s="223"/>
      <c r="Y1" s="223"/>
      <c r="Z1" s="223"/>
      <c r="AA1" s="274"/>
    </row>
    <row r="2" spans="1:27" ht="15.75">
      <c r="A2" s="68"/>
      <c r="B2" s="68"/>
      <c r="C2" s="68"/>
      <c r="D2" s="68"/>
      <c r="E2" s="68"/>
      <c r="F2" s="60"/>
      <c r="H2" s="69"/>
      <c r="I2" s="69"/>
      <c r="J2" s="69"/>
      <c r="K2" s="69"/>
      <c r="L2" s="69"/>
      <c r="M2" s="103"/>
      <c r="O2" s="69"/>
      <c r="P2" s="69"/>
      <c r="Q2" s="69"/>
      <c r="R2" s="69"/>
      <c r="S2" s="69"/>
      <c r="T2" s="91"/>
      <c r="V2" s="69"/>
      <c r="W2" s="69"/>
      <c r="X2" s="69"/>
      <c r="Y2" s="69"/>
      <c r="Z2" s="69"/>
      <c r="AA2" s="252"/>
    </row>
    <row r="3" spans="1:27" s="64" customFormat="1" ht="15.75">
      <c r="A3" s="363" t="s">
        <v>77</v>
      </c>
      <c r="B3" s="357"/>
      <c r="C3" s="357"/>
      <c r="D3" s="357"/>
      <c r="E3" s="357"/>
      <c r="F3" s="358"/>
      <c r="H3" s="363" t="s">
        <v>77</v>
      </c>
      <c r="I3" s="357"/>
      <c r="J3" s="357"/>
      <c r="K3" s="357"/>
      <c r="L3" s="357"/>
      <c r="M3" s="358"/>
      <c r="O3" s="363" t="s">
        <v>77</v>
      </c>
      <c r="P3" s="357"/>
      <c r="Q3" s="357"/>
      <c r="R3" s="357"/>
      <c r="S3" s="357"/>
      <c r="T3" s="358"/>
      <c r="V3" s="363" t="s">
        <v>77</v>
      </c>
      <c r="W3" s="357"/>
      <c r="X3" s="357"/>
      <c r="Y3" s="357"/>
      <c r="Z3" s="357"/>
      <c r="AA3" s="358"/>
    </row>
    <row r="4" spans="1:27" ht="42" customHeight="1">
      <c r="A4" s="359" t="s">
        <v>24</v>
      </c>
      <c r="B4" s="359" t="s">
        <v>25</v>
      </c>
      <c r="C4" s="359" t="s">
        <v>19</v>
      </c>
      <c r="D4" s="359" t="s">
        <v>49</v>
      </c>
      <c r="E4" s="359" t="s">
        <v>30</v>
      </c>
      <c r="F4" s="360" t="s">
        <v>50</v>
      </c>
      <c r="H4" s="359" t="s">
        <v>24</v>
      </c>
      <c r="I4" s="359" t="s">
        <v>25</v>
      </c>
      <c r="J4" s="359" t="s">
        <v>19</v>
      </c>
      <c r="K4" s="359" t="s">
        <v>49</v>
      </c>
      <c r="L4" s="359" t="s">
        <v>30</v>
      </c>
      <c r="M4" s="360" t="s">
        <v>50</v>
      </c>
      <c r="O4" s="359" t="s">
        <v>24</v>
      </c>
      <c r="P4" s="359" t="s">
        <v>25</v>
      </c>
      <c r="Q4" s="359" t="s">
        <v>19</v>
      </c>
      <c r="R4" s="359" t="s">
        <v>49</v>
      </c>
      <c r="S4" s="359" t="s">
        <v>30</v>
      </c>
      <c r="T4" s="361" t="s">
        <v>50</v>
      </c>
      <c r="V4" s="359" t="s">
        <v>24</v>
      </c>
      <c r="W4" s="359" t="s">
        <v>25</v>
      </c>
      <c r="X4" s="359" t="s">
        <v>19</v>
      </c>
      <c r="Y4" s="359" t="s">
        <v>49</v>
      </c>
      <c r="Z4" s="359" t="s">
        <v>30</v>
      </c>
      <c r="AA4" s="362" t="s">
        <v>50</v>
      </c>
    </row>
    <row r="5" spans="1:27" s="64" customFormat="1" ht="6" customHeight="1">
      <c r="A5" s="184"/>
      <c r="B5" s="184"/>
      <c r="C5" s="184"/>
      <c r="D5" s="184"/>
      <c r="E5" s="184"/>
      <c r="F5" s="196"/>
      <c r="H5" s="184"/>
      <c r="I5" s="184"/>
      <c r="J5" s="184"/>
      <c r="K5" s="184"/>
      <c r="L5" s="184"/>
      <c r="M5" s="196"/>
      <c r="O5" s="184"/>
      <c r="P5" s="184"/>
      <c r="Q5" s="184"/>
      <c r="R5" s="184"/>
      <c r="S5" s="184"/>
      <c r="T5" s="197"/>
      <c r="V5" s="184"/>
      <c r="W5" s="184"/>
      <c r="X5" s="184"/>
      <c r="Y5" s="184"/>
      <c r="Z5" s="184"/>
      <c r="AA5" s="255"/>
    </row>
    <row r="6" spans="1:27" ht="21.75" customHeight="1">
      <c r="A6" s="295" t="s">
        <v>46</v>
      </c>
      <c r="B6" s="63">
        <f>COUNTIFS('1. ALL DATA'!$Y$5:$Y$123,"LEADER OF THE COUNCIL",'1. ALL DATA'!$H$5:$H$123,"Fully Achieved")</f>
        <v>7</v>
      </c>
      <c r="C6" s="126">
        <f>B6/B20</f>
        <v>0.21212121212121213</v>
      </c>
      <c r="D6" s="494">
        <f>C6+C7</f>
        <v>0.60606060606060608</v>
      </c>
      <c r="E6" s="126">
        <f>B6/B21</f>
        <v>0.35</v>
      </c>
      <c r="F6" s="481">
        <f>E6+E7</f>
        <v>1</v>
      </c>
      <c r="H6" s="295" t="s">
        <v>46</v>
      </c>
      <c r="I6" s="72">
        <f>COUNTIFS('1. ALL DATA'!$Y$5:$Y$123,"LEADER OF THE COUNCIL",'1. ALL DATA'!$M$5:$M$123,"Fully Achieved")</f>
        <v>10</v>
      </c>
      <c r="J6" s="126">
        <f>I6/I20</f>
        <v>0.30303030303030304</v>
      </c>
      <c r="K6" s="494">
        <f>J6+J7</f>
        <v>0.8484848484848484</v>
      </c>
      <c r="L6" s="126">
        <f>I6/I21</f>
        <v>0.35714285714285715</v>
      </c>
      <c r="M6" s="481">
        <f>L6+L7</f>
        <v>1</v>
      </c>
      <c r="O6" s="295" t="s">
        <v>46</v>
      </c>
      <c r="P6" s="72">
        <f>COUNTIFS('1. ALL DATA'!$Y$5:$Y$123,"LEADER OF THE COUNCIL",'1. ALL DATA'!$R$5:$R$123,"Fully Achieved")</f>
        <v>14</v>
      </c>
      <c r="Q6" s="126">
        <f>P6/P20</f>
        <v>0.42424242424242425</v>
      </c>
      <c r="R6" s="494">
        <f>Q6+Q7</f>
        <v>0.93939393939393945</v>
      </c>
      <c r="S6" s="126">
        <f>P6/P21</f>
        <v>0.4375</v>
      </c>
      <c r="T6" s="481">
        <f>S6+S7</f>
        <v>0.96875</v>
      </c>
      <c r="V6" s="295" t="s">
        <v>41</v>
      </c>
      <c r="W6" s="127">
        <f>COUNTIFS('1. ALL DATA'!$Y$5:$Y$123,"LEADER OF THE COUNCIL",'1. ALL DATA'!$V$5:$V$123,"Fully Achieved")</f>
        <v>0</v>
      </c>
      <c r="X6" s="126">
        <f>W6/$W$20</f>
        <v>0</v>
      </c>
      <c r="Y6" s="494">
        <f>X6+X7</f>
        <v>0</v>
      </c>
      <c r="Z6" s="126" t="e">
        <f>W6/$W$21</f>
        <v>#DIV/0!</v>
      </c>
      <c r="AA6" s="481" t="e">
        <f>Z6+Z7</f>
        <v>#DIV/0!</v>
      </c>
    </row>
    <row r="7" spans="1:27" ht="18.75" customHeight="1">
      <c r="A7" s="295" t="s">
        <v>42</v>
      </c>
      <c r="B7" s="63">
        <f>COUNTIFS('1. ALL DATA'!$Y$5:$Y$123,"LEADER OF THE COUNCIL",'1. ALL DATA'!$H$5:$H$123,"On track to be achieved")</f>
        <v>13</v>
      </c>
      <c r="C7" s="126">
        <f>B7/B20</f>
        <v>0.39393939393939392</v>
      </c>
      <c r="D7" s="494"/>
      <c r="E7" s="126">
        <f>B7/B21</f>
        <v>0.65</v>
      </c>
      <c r="F7" s="481"/>
      <c r="H7" s="295" t="s">
        <v>42</v>
      </c>
      <c r="I7" s="72">
        <f>COUNTIFS('1. ALL DATA'!$Y$5:$Y$123,"LEADER OF THE COUNCIL",'1. ALL DATA'!$M$5:$M$123,"On track to be achieved")</f>
        <v>18</v>
      </c>
      <c r="J7" s="126">
        <f>I7/I20</f>
        <v>0.54545454545454541</v>
      </c>
      <c r="K7" s="494"/>
      <c r="L7" s="126">
        <f>I7/I21</f>
        <v>0.6428571428571429</v>
      </c>
      <c r="M7" s="481"/>
      <c r="O7" s="295" t="s">
        <v>42</v>
      </c>
      <c r="P7" s="72">
        <f>COUNTIFS('1. ALL DATA'!$Y$5:$Y$123,"LEADER OF THE COUNCIL",'1. ALL DATA'!$R$5:$R$123,"On track to be achieved")</f>
        <v>17</v>
      </c>
      <c r="Q7" s="126">
        <f>P7/P20</f>
        <v>0.51515151515151514</v>
      </c>
      <c r="R7" s="494"/>
      <c r="S7" s="126">
        <f>P7/P21</f>
        <v>0.53125</v>
      </c>
      <c r="T7" s="481"/>
      <c r="V7" s="295" t="s">
        <v>83</v>
      </c>
      <c r="W7" s="127">
        <f>COUNTIFS('1. ALL DATA'!$Y$5:$Y$123,"LEADER OF THE COUNCIL",'1. ALL DATA'!$V$5:$V$123,"Numerical Outturn Within 5% Tolerance")</f>
        <v>0</v>
      </c>
      <c r="X7" s="150">
        <f>W7/$W$20</f>
        <v>0</v>
      </c>
      <c r="Y7" s="494"/>
      <c r="Z7" s="150" t="e">
        <f t="shared" ref="Z7:Z14" si="0">W7/$W$21</f>
        <v>#DIV/0!</v>
      </c>
      <c r="AA7" s="481"/>
    </row>
    <row r="8" spans="1:27" s="64" customFormat="1" ht="6" customHeight="1">
      <c r="A8" s="184"/>
      <c r="B8" s="189"/>
      <c r="C8" s="185"/>
      <c r="D8" s="185"/>
      <c r="E8" s="185"/>
      <c r="F8" s="186"/>
      <c r="H8" s="184"/>
      <c r="I8" s="189"/>
      <c r="J8" s="185"/>
      <c r="K8" s="185"/>
      <c r="L8" s="185"/>
      <c r="M8" s="186"/>
      <c r="O8" s="184"/>
      <c r="P8" s="189"/>
      <c r="Q8" s="185"/>
      <c r="R8" s="185"/>
      <c r="S8" s="185"/>
      <c r="T8" s="186"/>
      <c r="V8" s="187"/>
      <c r="W8" s="184"/>
      <c r="X8" s="364"/>
      <c r="Y8" s="185"/>
      <c r="Z8" s="364"/>
      <c r="AA8" s="186"/>
    </row>
    <row r="9" spans="1:27" ht="21" customHeight="1">
      <c r="A9" s="476" t="s">
        <v>27</v>
      </c>
      <c r="B9" s="500">
        <f>COUNTIFS('1. ALL DATA'!$Y$5:$Y$123,"LEADER OF THE COUNCIL",'1. ALL DATA'!$H$5:$H$123,"In danger of falling behind target")</f>
        <v>0</v>
      </c>
      <c r="C9" s="494">
        <f>B9/B20</f>
        <v>0</v>
      </c>
      <c r="D9" s="494">
        <f>C9</f>
        <v>0</v>
      </c>
      <c r="E9" s="494">
        <f>B9/B21</f>
        <v>0</v>
      </c>
      <c r="F9" s="479">
        <f>E9</f>
        <v>0</v>
      </c>
      <c r="H9" s="476" t="s">
        <v>27</v>
      </c>
      <c r="I9" s="496">
        <f>COUNTIFS('1. ALL DATA'!$Y$5:$Y$123,"LEADER OF THE COUNCIL",'1. ALL DATA'!$M$5:$M$123,"In danger of falling behind target")</f>
        <v>0</v>
      </c>
      <c r="J9" s="494">
        <f>I9/I20</f>
        <v>0</v>
      </c>
      <c r="K9" s="494">
        <f>J9</f>
        <v>0</v>
      </c>
      <c r="L9" s="494">
        <f>I9/I21</f>
        <v>0</v>
      </c>
      <c r="M9" s="479">
        <f>L9</f>
        <v>0</v>
      </c>
      <c r="O9" s="476" t="s">
        <v>27</v>
      </c>
      <c r="P9" s="496">
        <f>COUNTIFS('1. ALL DATA'!$Y$5:$Y$123,"LEADER OF THE COUNCIL",'1. ALL DATA'!$R$5:$R$123,"In danger of falling behind target")</f>
        <v>1</v>
      </c>
      <c r="Q9" s="494">
        <f>P9/P20</f>
        <v>3.0303030303030304E-2</v>
      </c>
      <c r="R9" s="494">
        <f>Q9</f>
        <v>3.0303030303030304E-2</v>
      </c>
      <c r="S9" s="494">
        <f>P9/P21</f>
        <v>3.125E-2</v>
      </c>
      <c r="T9" s="479">
        <f>S9</f>
        <v>3.125E-2</v>
      </c>
      <c r="V9" s="297" t="s">
        <v>84</v>
      </c>
      <c r="W9" s="276">
        <f>COUNTIFS('1. ALL DATA'!$Y$5:$Y$123,"LEADER OF THE COUNCIL",'1. ALL DATA'!$V$5:$V$123,"Numerical Outturn Within 10% Tolerance")</f>
        <v>0</v>
      </c>
      <c r="X9" s="150">
        <f t="shared" ref="X9:X19" si="1">W9/$W$20</f>
        <v>0</v>
      </c>
      <c r="Y9" s="497">
        <f>SUM(X9:X11)</f>
        <v>0</v>
      </c>
      <c r="Z9" s="150" t="e">
        <f t="shared" si="0"/>
        <v>#DIV/0!</v>
      </c>
      <c r="AA9" s="479" t="e">
        <f>SUM(Z9:Z11)</f>
        <v>#DIV/0!</v>
      </c>
    </row>
    <row r="10" spans="1:27" ht="20.25" customHeight="1">
      <c r="A10" s="476"/>
      <c r="B10" s="500"/>
      <c r="C10" s="494"/>
      <c r="D10" s="494"/>
      <c r="E10" s="494"/>
      <c r="F10" s="479"/>
      <c r="H10" s="476"/>
      <c r="I10" s="496"/>
      <c r="J10" s="494"/>
      <c r="K10" s="494"/>
      <c r="L10" s="494"/>
      <c r="M10" s="479"/>
      <c r="O10" s="476"/>
      <c r="P10" s="496"/>
      <c r="Q10" s="494"/>
      <c r="R10" s="494"/>
      <c r="S10" s="494"/>
      <c r="T10" s="479"/>
      <c r="V10" s="297" t="s">
        <v>85</v>
      </c>
      <c r="W10" s="276">
        <f>COUNTIFS('1. ALL DATA'!$Y$5:$Y$123,"LEADER OF THE COUNCIL",'1. ALL DATA'!$V$5:$V$123,"Target Partially Met")</f>
        <v>0</v>
      </c>
      <c r="X10" s="150">
        <f t="shared" si="1"/>
        <v>0</v>
      </c>
      <c r="Y10" s="498"/>
      <c r="Z10" s="150" t="e">
        <f t="shared" si="0"/>
        <v>#DIV/0!</v>
      </c>
      <c r="AA10" s="479"/>
    </row>
    <row r="11" spans="1:27" ht="15.75" customHeight="1">
      <c r="A11" s="476"/>
      <c r="B11" s="500"/>
      <c r="C11" s="494"/>
      <c r="D11" s="494"/>
      <c r="E11" s="494"/>
      <c r="F11" s="479"/>
      <c r="H11" s="476"/>
      <c r="I11" s="496"/>
      <c r="J11" s="494"/>
      <c r="K11" s="494"/>
      <c r="L11" s="494"/>
      <c r="M11" s="479"/>
      <c r="O11" s="476"/>
      <c r="P11" s="496"/>
      <c r="Q11" s="494"/>
      <c r="R11" s="494"/>
      <c r="S11" s="494"/>
      <c r="T11" s="479"/>
      <c r="V11" s="297" t="s">
        <v>87</v>
      </c>
      <c r="W11" s="276">
        <f>COUNTIFS('1. ALL DATA'!$Y$5:$Y$123,"LEADER OF THE COUNCIL",'1. ALL DATA'!$V$5:$V$123,"Completion Date Within Reasonable Tolerance")</f>
        <v>0</v>
      </c>
      <c r="X11" s="150">
        <f t="shared" si="1"/>
        <v>0</v>
      </c>
      <c r="Y11" s="499"/>
      <c r="Z11" s="150" t="e">
        <f t="shared" si="0"/>
        <v>#DIV/0!</v>
      </c>
      <c r="AA11" s="479"/>
    </row>
    <row r="12" spans="1:27" s="64" customFormat="1" ht="6" customHeight="1">
      <c r="A12" s="184"/>
      <c r="B12" s="184"/>
      <c r="C12" s="185"/>
      <c r="D12" s="185" t="e">
        <f>'5. % BY PORTFOLIO'!F6:F7</f>
        <v>#VALUE!</v>
      </c>
      <c r="E12" s="185"/>
      <c r="F12" s="186"/>
      <c r="H12" s="184"/>
      <c r="I12" s="184"/>
      <c r="J12" s="185"/>
      <c r="K12" s="185"/>
      <c r="L12" s="185"/>
      <c r="M12" s="186"/>
      <c r="O12" s="184"/>
      <c r="P12" s="184"/>
      <c r="Q12" s="185"/>
      <c r="R12" s="185"/>
      <c r="S12" s="185"/>
      <c r="T12" s="186"/>
      <c r="V12" s="187"/>
      <c r="W12" s="184"/>
      <c r="X12" s="364"/>
      <c r="Y12" s="185"/>
      <c r="Z12" s="364"/>
      <c r="AA12" s="186"/>
    </row>
    <row r="13" spans="1:27" ht="20.25" customHeight="1">
      <c r="A13" s="296" t="s">
        <v>43</v>
      </c>
      <c r="B13" s="63">
        <f>COUNTIFS('1. ALL DATA'!$Y$5:$Y$123,"LEADER OF THE COUNCIL",'1. ALL DATA'!$H$5:$H$123,"Completed behind schedule")</f>
        <v>0</v>
      </c>
      <c r="C13" s="275">
        <f>B13/B20</f>
        <v>0</v>
      </c>
      <c r="D13" s="494">
        <f>C13+C14</f>
        <v>0</v>
      </c>
      <c r="E13" s="126">
        <f>B13/B21</f>
        <v>0</v>
      </c>
      <c r="F13" s="495">
        <f>E13+E14</f>
        <v>0</v>
      </c>
      <c r="H13" s="296" t="s">
        <v>43</v>
      </c>
      <c r="I13" s="72">
        <f>COUNTIFS('1. ALL DATA'!$Y$5:$Y$123,"LEADER OF THE COUNCIL",'1. ALL DATA'!$M$5:$M$123,"Completed behind schedule")</f>
        <v>0</v>
      </c>
      <c r="J13" s="126">
        <f>I13/I20</f>
        <v>0</v>
      </c>
      <c r="K13" s="494">
        <f>J13+J14</f>
        <v>0</v>
      </c>
      <c r="L13" s="126">
        <f>I13/I21</f>
        <v>0</v>
      </c>
      <c r="M13" s="495">
        <f>L13+L14</f>
        <v>0</v>
      </c>
      <c r="O13" s="296" t="s">
        <v>43</v>
      </c>
      <c r="P13" s="72">
        <f>COUNTIFS('1. ALL DATA'!$Y$5:$Y$123,"LEADER OF THE COUNCIL",'1. ALL DATA'!$R$5:$R$123,"Completed behind schedule")</f>
        <v>0</v>
      </c>
      <c r="Q13" s="126">
        <f>P13/P20</f>
        <v>0</v>
      </c>
      <c r="R13" s="494">
        <f>Q13+Q14</f>
        <v>0</v>
      </c>
      <c r="S13" s="126">
        <f>P13/P21</f>
        <v>0</v>
      </c>
      <c r="T13" s="495">
        <f>S13+S14</f>
        <v>0</v>
      </c>
      <c r="V13" s="296" t="s">
        <v>86</v>
      </c>
      <c r="W13" s="276">
        <f>COUNTIFS('1. ALL DATA'!$Y$5:$Y$123,"LEADER OF THE COUNCIL",'1. ALL DATA'!$V$5:$V$123,"Completed Significantly After Target Deadline")</f>
        <v>0</v>
      </c>
      <c r="X13" s="150">
        <f t="shared" si="1"/>
        <v>0</v>
      </c>
      <c r="Y13" s="494">
        <f>X13+X14</f>
        <v>0</v>
      </c>
      <c r="Z13" s="150" t="e">
        <f t="shared" si="0"/>
        <v>#DIV/0!</v>
      </c>
      <c r="AA13" s="495" t="e">
        <f>Z13+Z14</f>
        <v>#DIV/0!</v>
      </c>
    </row>
    <row r="14" spans="1:27" ht="20.25" customHeight="1">
      <c r="A14" s="296" t="s">
        <v>28</v>
      </c>
      <c r="B14" s="63">
        <f>COUNTIFS('1. ALL DATA'!$Y$5:$Y$123,"LEADER OF THE COUNCIL",'1. ALL DATA'!$H$5:$H$123,"Off target")</f>
        <v>0</v>
      </c>
      <c r="C14" s="275">
        <f>B14/B20</f>
        <v>0</v>
      </c>
      <c r="D14" s="494"/>
      <c r="E14" s="126">
        <f>B14/B21</f>
        <v>0</v>
      </c>
      <c r="F14" s="495"/>
      <c r="H14" s="296" t="s">
        <v>28</v>
      </c>
      <c r="I14" s="72">
        <f>COUNTIFS('1. ALL DATA'!$Y$5:$Y$123,"LEADER OF THE COUNCIL",'1. ALL DATA'!$M$5:$M$123,"Off target")</f>
        <v>0</v>
      </c>
      <c r="J14" s="126">
        <f>I14/I20</f>
        <v>0</v>
      </c>
      <c r="K14" s="494"/>
      <c r="L14" s="126">
        <f>I14/I21</f>
        <v>0</v>
      </c>
      <c r="M14" s="495"/>
      <c r="O14" s="296" t="s">
        <v>28</v>
      </c>
      <c r="P14" s="72">
        <f>COUNTIFS('1. ALL DATA'!$Y$5:$Y$123,"LEADER OF THE COUNCIL",'1. ALL DATA'!$R$5:$R$123,"Off target")</f>
        <v>0</v>
      </c>
      <c r="Q14" s="126">
        <f>P14/P20</f>
        <v>0</v>
      </c>
      <c r="R14" s="494"/>
      <c r="S14" s="126">
        <f>P14/P21</f>
        <v>0</v>
      </c>
      <c r="T14" s="495"/>
      <c r="V14" s="296" t="s">
        <v>28</v>
      </c>
      <c r="W14" s="276">
        <f>COUNTIFS('1. ALL DATA'!$Y$5:$Y$123,"LEADER OF THE COUNCIL",'1. ALL DATA'!$V$5:$V$123,"Off Target")</f>
        <v>0</v>
      </c>
      <c r="X14" s="150">
        <f t="shared" si="1"/>
        <v>0</v>
      </c>
      <c r="Y14" s="494"/>
      <c r="Z14" s="150" t="e">
        <f t="shared" si="0"/>
        <v>#DIV/0!</v>
      </c>
      <c r="AA14" s="495"/>
    </row>
    <row r="15" spans="1:27" s="64" customFormat="1" ht="6.75" customHeight="1">
      <c r="A15" s="184"/>
      <c r="B15" s="189"/>
      <c r="C15" s="185"/>
      <c r="D15" s="185"/>
      <c r="E15" s="185"/>
      <c r="F15" s="190"/>
      <c r="H15" s="184"/>
      <c r="I15" s="189"/>
      <c r="J15" s="185"/>
      <c r="K15" s="185"/>
      <c r="L15" s="185"/>
      <c r="M15" s="190"/>
      <c r="O15" s="184"/>
      <c r="P15" s="189"/>
      <c r="Q15" s="185"/>
      <c r="R15" s="185"/>
      <c r="S15" s="185"/>
      <c r="T15" s="190"/>
      <c r="V15" s="366"/>
      <c r="W15" s="191"/>
      <c r="X15" s="364"/>
      <c r="Y15" s="192"/>
      <c r="Z15" s="193"/>
      <c r="AA15" s="256"/>
    </row>
    <row r="16" spans="1:27" ht="15" customHeight="1">
      <c r="A16" s="48" t="s">
        <v>2</v>
      </c>
      <c r="B16" s="63">
        <f>COUNTIFS('1. ALL DATA'!$Y$5:$Y$123,"LEADER OF THE COUNCIL",'1. ALL DATA'!$H$5:$H$123,"Not yet due")</f>
        <v>13</v>
      </c>
      <c r="C16" s="78">
        <f>B16/B20</f>
        <v>0.39393939393939392</v>
      </c>
      <c r="D16" s="78">
        <f>C16</f>
        <v>0.39393939393939392</v>
      </c>
      <c r="E16" s="79"/>
      <c r="F16" s="47"/>
      <c r="H16" s="48" t="s">
        <v>2</v>
      </c>
      <c r="I16" s="63">
        <f>COUNTIFS('1. ALL DATA'!$Y$5:$Y$123,"LEADER OF THE COUNCIL",'1. ALL DATA'!$M$5:$M$123,"Not yet due")</f>
        <v>5</v>
      </c>
      <c r="J16" s="78">
        <f>I16/I20</f>
        <v>0.15151515151515152</v>
      </c>
      <c r="K16" s="78">
        <f>J16</f>
        <v>0.15151515151515152</v>
      </c>
      <c r="L16" s="79"/>
      <c r="M16" s="47"/>
      <c r="O16" s="48" t="s">
        <v>2</v>
      </c>
      <c r="P16" s="63">
        <f>COUNTIFS('1. ALL DATA'!$Y$5:$Y$123,"LEADER OF THE COUNCIL",'1. ALL DATA'!$R$5:$R$123,"Not yet due")</f>
        <v>1</v>
      </c>
      <c r="Q16" s="78">
        <f>P16/P20</f>
        <v>3.0303030303030304E-2</v>
      </c>
      <c r="R16" s="78">
        <f>Q16</f>
        <v>3.0303030303030304E-2</v>
      </c>
      <c r="S16" s="79"/>
      <c r="T16" s="99"/>
      <c r="V16" s="63" t="s">
        <v>2</v>
      </c>
      <c r="W16" s="48">
        <f>COUNTIFS('1. ALL DATA'!$Y$5:$Y$123,"LEADER OF THE COUNCIL",'1. ALL DATA'!$V$5:$V$123,"not yet due")</f>
        <v>0</v>
      </c>
      <c r="X16" s="150">
        <f t="shared" si="1"/>
        <v>0</v>
      </c>
      <c r="Y16" s="78">
        <f>X16</f>
        <v>0</v>
      </c>
      <c r="Z16" s="79"/>
      <c r="AA16" s="258"/>
    </row>
    <row r="17" spans="1:27" ht="15" customHeight="1">
      <c r="A17" s="48" t="s">
        <v>47</v>
      </c>
      <c r="B17" s="63">
        <f>COUNTIFS('1. ALL DATA'!$Y$5:$Y$123,"LEADER OF THE COUNCIL",'1. ALL DATA'!$H$5:$H$123,"Update not provided")</f>
        <v>0</v>
      </c>
      <c r="C17" s="78">
        <f>B17/B20</f>
        <v>0</v>
      </c>
      <c r="D17" s="78">
        <f>C17</f>
        <v>0</v>
      </c>
      <c r="E17" s="79"/>
      <c r="F17" s="104"/>
      <c r="H17" s="48" t="s">
        <v>47</v>
      </c>
      <c r="I17" s="63">
        <f>COUNTIFS('1. ALL DATA'!$Y$5:$Y$123,"LEADER OF THE COUNCIL",'1. ALL DATA'!$M$5:$M$123,"Update not provided")</f>
        <v>0</v>
      </c>
      <c r="J17" s="78">
        <f>I17/I20</f>
        <v>0</v>
      </c>
      <c r="K17" s="78">
        <f>J17</f>
        <v>0</v>
      </c>
      <c r="L17" s="79"/>
      <c r="M17" s="104"/>
      <c r="O17" s="48" t="s">
        <v>47</v>
      </c>
      <c r="P17" s="63">
        <f>COUNTIFS('1. ALL DATA'!$Y$5:$Y$123,"LEADER OF THE COUNCIL",'1. ALL DATA'!$R$5:$R$123,"Update not provided")</f>
        <v>0</v>
      </c>
      <c r="Q17" s="78">
        <f>P17/P20</f>
        <v>0</v>
      </c>
      <c r="R17" s="78">
        <f>Q17</f>
        <v>0</v>
      </c>
      <c r="S17" s="79"/>
      <c r="T17" s="100"/>
      <c r="V17" s="65" t="s">
        <v>47</v>
      </c>
      <c r="W17" s="48">
        <f>COUNTIFS('1. ALL DATA'!$Y$5:$Y$123,"LEADER OF THE COUNCIL",'1. ALL DATA'!$V$5:$V$123,"Update not provided")</f>
        <v>33</v>
      </c>
      <c r="X17" s="150">
        <f t="shared" si="1"/>
        <v>1</v>
      </c>
      <c r="Y17" s="78">
        <f>X17</f>
        <v>1</v>
      </c>
      <c r="Z17" s="79"/>
    </row>
    <row r="18" spans="1:27" ht="15.75" customHeight="1">
      <c r="A18" s="49" t="s">
        <v>23</v>
      </c>
      <c r="B18" s="63">
        <f>COUNTIFS('1. ALL DATA'!$Y$5:$Y$123,"LEADER OF THE COUNCIL",'1. ALL DATA'!$H$5:$H$123,"Deferred")</f>
        <v>0</v>
      </c>
      <c r="C18" s="81">
        <f>B18/B20</f>
        <v>0</v>
      </c>
      <c r="D18" s="81">
        <f>C18</f>
        <v>0</v>
      </c>
      <c r="E18" s="80"/>
      <c r="F18" s="47"/>
      <c r="H18" s="49" t="s">
        <v>23</v>
      </c>
      <c r="I18" s="63">
        <f>COUNTIFS('1. ALL DATA'!$Y$5:$Y$123,"LEADER OF THE COUNCIL",'1. ALL DATA'!$M$5:$M$123,"Deferred")</f>
        <v>0</v>
      </c>
      <c r="J18" s="81">
        <f>I18/I20</f>
        <v>0</v>
      </c>
      <c r="K18" s="81">
        <f>J18</f>
        <v>0</v>
      </c>
      <c r="L18" s="80"/>
      <c r="M18" s="47"/>
      <c r="O18" s="49" t="s">
        <v>23</v>
      </c>
      <c r="P18" s="63">
        <f>COUNTIFS('1. ALL DATA'!$Y$5:$Y$123,"LEADER OF THE COUNCIL",'1. ALL DATA'!$R$5:$R$123,"Deferred")</f>
        <v>0</v>
      </c>
      <c r="Q18" s="81">
        <f>P18/P20</f>
        <v>0</v>
      </c>
      <c r="R18" s="81">
        <f>Q18</f>
        <v>0</v>
      </c>
      <c r="S18" s="80"/>
      <c r="T18" s="99"/>
      <c r="V18" s="49" t="s">
        <v>23</v>
      </c>
      <c r="W18" s="48">
        <f>COUNTIFS('1. ALL DATA'!$Y$5:$Y$123,"LEADER OF THE COUNCIL",'1. ALL DATA'!$V$5:$V$123,"Deferred")</f>
        <v>0</v>
      </c>
      <c r="X18" s="150">
        <f t="shared" si="1"/>
        <v>0</v>
      </c>
      <c r="Y18" s="81">
        <f>X18</f>
        <v>0</v>
      </c>
      <c r="Z18" s="80"/>
      <c r="AA18" s="258"/>
    </row>
    <row r="19" spans="1:27" ht="15.75" customHeight="1">
      <c r="A19" s="49" t="s">
        <v>29</v>
      </c>
      <c r="B19" s="63">
        <f>COUNTIFS('1. ALL DATA'!$Y$5:$Y$123,"LEADER OF THE COUNCIL",'1. ALL DATA'!$H$5:$H$123,"Deleted")</f>
        <v>0</v>
      </c>
      <c r="C19" s="81">
        <f>B19/B20</f>
        <v>0</v>
      </c>
      <c r="D19" s="81">
        <f>C19</f>
        <v>0</v>
      </c>
      <c r="E19" s="80"/>
      <c r="F19" s="97" t="s">
        <v>63</v>
      </c>
      <c r="H19" s="49" t="s">
        <v>29</v>
      </c>
      <c r="I19" s="63">
        <f>COUNTIFS('1. ALL DATA'!$Y$5:$Y$123,"LEADER OF THE COUNCIL",'1. ALL DATA'!$M$5:$M$123,"Deleted")</f>
        <v>0</v>
      </c>
      <c r="J19" s="81">
        <f>I19/I20</f>
        <v>0</v>
      </c>
      <c r="K19" s="81">
        <f>J19</f>
        <v>0</v>
      </c>
      <c r="L19" s="80"/>
      <c r="M19" s="97" t="s">
        <v>63</v>
      </c>
      <c r="O19" s="49" t="s">
        <v>29</v>
      </c>
      <c r="P19" s="63">
        <f>COUNTIFS('1. ALL DATA'!$Y$5:$Y$123,"LEADER OF THE COUNCIL",'1. ALL DATA'!$R$5:$R$123,"Deleted")</f>
        <v>0</v>
      </c>
      <c r="Q19" s="81">
        <f>P19/P20</f>
        <v>0</v>
      </c>
      <c r="R19" s="81">
        <f>Q19</f>
        <v>0</v>
      </c>
      <c r="S19" s="80"/>
      <c r="T19" s="97" t="s">
        <v>63</v>
      </c>
      <c r="V19" s="49" t="s">
        <v>29</v>
      </c>
      <c r="W19" s="48">
        <f>COUNTIFS('1. ALL DATA'!$Y$5:$Y$123,"LEADER OF THE COUNCIL",'1. ALL DATA'!$V$5:$V$123,"Deleted")</f>
        <v>0</v>
      </c>
      <c r="X19" s="150">
        <f t="shared" si="1"/>
        <v>0</v>
      </c>
      <c r="Y19" s="81">
        <f>X19</f>
        <v>0</v>
      </c>
      <c r="Z19" s="80"/>
      <c r="AA19" s="97" t="s">
        <v>63</v>
      </c>
    </row>
    <row r="20" spans="1:27" ht="15.75" customHeight="1">
      <c r="A20" s="50" t="s">
        <v>31</v>
      </c>
      <c r="B20" s="82">
        <f>SUM(B6:B19)</f>
        <v>33</v>
      </c>
      <c r="C20" s="80"/>
      <c r="D20" s="80"/>
      <c r="E20" s="52"/>
      <c r="F20" s="47"/>
      <c r="H20" s="50" t="s">
        <v>31</v>
      </c>
      <c r="I20" s="82">
        <f>SUM(I6:I19)</f>
        <v>33</v>
      </c>
      <c r="J20" s="80"/>
      <c r="K20" s="80"/>
      <c r="L20" s="52"/>
      <c r="M20" s="47"/>
      <c r="O20" s="50" t="s">
        <v>31</v>
      </c>
      <c r="P20" s="82">
        <f>SUM(P6:P19)</f>
        <v>33</v>
      </c>
      <c r="Q20" s="80"/>
      <c r="R20" s="80"/>
      <c r="S20" s="52"/>
      <c r="T20" s="99"/>
      <c r="V20" s="50" t="s">
        <v>31</v>
      </c>
      <c r="W20" s="87">
        <f>SUM(W6:W19)</f>
        <v>33</v>
      </c>
      <c r="X20" s="80"/>
      <c r="Y20" s="80"/>
      <c r="Z20" s="52"/>
      <c r="AA20" s="258"/>
    </row>
    <row r="21" spans="1:27" ht="15.75" customHeight="1">
      <c r="A21" s="50" t="s">
        <v>32</v>
      </c>
      <c r="B21" s="82">
        <f>B20-B19-B18-B17-B16</f>
        <v>20</v>
      </c>
      <c r="C21" s="52"/>
      <c r="D21" s="52"/>
      <c r="E21" s="52"/>
      <c r="F21" s="47"/>
      <c r="H21" s="50" t="s">
        <v>32</v>
      </c>
      <c r="I21" s="82">
        <f>I20-I19-I18-I17-I16</f>
        <v>28</v>
      </c>
      <c r="J21" s="52"/>
      <c r="K21" s="52"/>
      <c r="L21" s="52"/>
      <c r="M21" s="47"/>
      <c r="O21" s="50" t="s">
        <v>32</v>
      </c>
      <c r="P21" s="82">
        <f>P20-P19-P18-P17-P16</f>
        <v>32</v>
      </c>
      <c r="Q21" s="52"/>
      <c r="R21" s="52"/>
      <c r="S21" s="52"/>
      <c r="T21" s="99"/>
      <c r="V21" s="50" t="s">
        <v>32</v>
      </c>
      <c r="W21" s="87">
        <f>W20-W19-W18-W17-W16</f>
        <v>0</v>
      </c>
      <c r="X21" s="52"/>
      <c r="Y21" s="52"/>
      <c r="Z21" s="52"/>
      <c r="AA21" s="258"/>
    </row>
    <row r="22" spans="1:27" ht="15.75" customHeight="1">
      <c r="V22" s="66"/>
      <c r="W22" s="64"/>
      <c r="X22" s="64"/>
      <c r="Y22" s="64"/>
      <c r="Z22" s="52"/>
      <c r="AA22" s="258"/>
    </row>
    <row r="23" spans="1:27" ht="15.75" customHeight="1"/>
    <row r="24" spans="1:27" s="64" customFormat="1" ht="15.75" customHeight="1">
      <c r="A24" s="66"/>
      <c r="E24" s="52"/>
      <c r="F24" s="1"/>
      <c r="H24" s="66"/>
      <c r="L24" s="52"/>
      <c r="M24" s="1"/>
      <c r="O24" s="66"/>
      <c r="S24" s="52"/>
      <c r="T24" s="96"/>
      <c r="AA24" s="258"/>
    </row>
    <row r="25" spans="1:27" ht="15" customHeight="1">
      <c r="Z25" s="89"/>
    </row>
    <row r="26" spans="1:27" s="64" customFormat="1" ht="15.75">
      <c r="A26" s="363" t="s">
        <v>95</v>
      </c>
      <c r="B26" s="357"/>
      <c r="C26" s="357"/>
      <c r="D26" s="357"/>
      <c r="E26" s="357"/>
      <c r="F26" s="358"/>
      <c r="H26" s="363" t="s">
        <v>95</v>
      </c>
      <c r="I26" s="357"/>
      <c r="J26" s="357"/>
      <c r="K26" s="357"/>
      <c r="L26" s="357"/>
      <c r="M26" s="358"/>
      <c r="O26" s="363" t="s">
        <v>95</v>
      </c>
      <c r="P26" s="357"/>
      <c r="Q26" s="357"/>
      <c r="R26" s="357"/>
      <c r="S26" s="357"/>
      <c r="T26" s="358"/>
      <c r="V26" s="363" t="s">
        <v>95</v>
      </c>
      <c r="W26" s="357"/>
      <c r="X26" s="357"/>
      <c r="Y26" s="357"/>
      <c r="Z26" s="357"/>
      <c r="AA26" s="358"/>
    </row>
    <row r="27" spans="1:27" ht="42" customHeight="1">
      <c r="A27" s="359" t="s">
        <v>24</v>
      </c>
      <c r="B27" s="359" t="s">
        <v>25</v>
      </c>
      <c r="C27" s="359" t="s">
        <v>19</v>
      </c>
      <c r="D27" s="359" t="s">
        <v>49</v>
      </c>
      <c r="E27" s="359" t="s">
        <v>30</v>
      </c>
      <c r="F27" s="360" t="s">
        <v>50</v>
      </c>
      <c r="H27" s="359" t="s">
        <v>24</v>
      </c>
      <c r="I27" s="359" t="s">
        <v>25</v>
      </c>
      <c r="J27" s="359" t="s">
        <v>19</v>
      </c>
      <c r="K27" s="359" t="s">
        <v>49</v>
      </c>
      <c r="L27" s="359" t="s">
        <v>30</v>
      </c>
      <c r="M27" s="360" t="s">
        <v>50</v>
      </c>
      <c r="O27" s="359" t="s">
        <v>24</v>
      </c>
      <c r="P27" s="359" t="s">
        <v>25</v>
      </c>
      <c r="Q27" s="359" t="s">
        <v>19</v>
      </c>
      <c r="R27" s="359" t="s">
        <v>49</v>
      </c>
      <c r="S27" s="359" t="s">
        <v>30</v>
      </c>
      <c r="T27" s="361" t="s">
        <v>50</v>
      </c>
      <c r="V27" s="359" t="s">
        <v>24</v>
      </c>
      <c r="W27" s="359" t="s">
        <v>25</v>
      </c>
      <c r="X27" s="359" t="s">
        <v>19</v>
      </c>
      <c r="Y27" s="359" t="s">
        <v>49</v>
      </c>
      <c r="Z27" s="359" t="s">
        <v>30</v>
      </c>
      <c r="AA27" s="362" t="s">
        <v>50</v>
      </c>
    </row>
    <row r="28" spans="1:27" s="64" customFormat="1" ht="6" customHeight="1">
      <c r="A28" s="184"/>
      <c r="B28" s="184"/>
      <c r="C28" s="184"/>
      <c r="D28" s="184"/>
      <c r="E28" s="184"/>
      <c r="F28" s="196"/>
      <c r="H28" s="184"/>
      <c r="I28" s="184"/>
      <c r="J28" s="184"/>
      <c r="K28" s="184"/>
      <c r="L28" s="184"/>
      <c r="M28" s="196"/>
      <c r="O28" s="184"/>
      <c r="P28" s="184"/>
      <c r="Q28" s="184"/>
      <c r="R28" s="184"/>
      <c r="S28" s="184"/>
      <c r="T28" s="197"/>
      <c r="V28" s="184"/>
      <c r="W28" s="184"/>
      <c r="X28" s="184"/>
      <c r="Y28" s="184"/>
      <c r="Z28" s="184"/>
      <c r="AA28" s="255"/>
    </row>
    <row r="29" spans="1:27" ht="21.75" customHeight="1">
      <c r="A29" s="295" t="s">
        <v>46</v>
      </c>
      <c r="B29" s="72">
        <f>COUNTIFS('1. ALL DATA'!$Y$5:$Y$123,"CULTURAL SERVICES",'1. ALL DATA'!$H$5:$H$123,"Fully Achieved")</f>
        <v>7</v>
      </c>
      <c r="C29" s="126">
        <f>B29/B43</f>
        <v>0.30434782608695654</v>
      </c>
      <c r="D29" s="494">
        <f>C29+C30</f>
        <v>0.91304347826086962</v>
      </c>
      <c r="E29" s="126">
        <f>B29/B44</f>
        <v>0.33333333333333331</v>
      </c>
      <c r="F29" s="481">
        <f>E29+E30</f>
        <v>1</v>
      </c>
      <c r="H29" s="295" t="s">
        <v>46</v>
      </c>
      <c r="I29" s="72">
        <f>COUNTIFS('1. ALL DATA'!$Y$5:$Y$123,"CULTURAL SERVICES",'1. ALL DATA'!$M$5:$M$123,"Fully Achieved")</f>
        <v>11</v>
      </c>
      <c r="J29" s="126">
        <f>I29/I43</f>
        <v>0.47826086956521741</v>
      </c>
      <c r="K29" s="494">
        <f>J29+J30</f>
        <v>0.95652173913043481</v>
      </c>
      <c r="L29" s="126">
        <f>I29/I44</f>
        <v>0.5</v>
      </c>
      <c r="M29" s="481">
        <f>L29+L30</f>
        <v>1</v>
      </c>
      <c r="O29" s="295" t="s">
        <v>46</v>
      </c>
      <c r="P29" s="72">
        <f>COUNTIFS('1. ALL DATA'!$Y$5:$Y$123,"CULTURAL SERVICES",'1. ALL DATA'!$R$5:$R$123,"Fully Achieved")</f>
        <v>17</v>
      </c>
      <c r="Q29" s="126">
        <f>P29/P43</f>
        <v>0.73913043478260865</v>
      </c>
      <c r="R29" s="494">
        <f>Q29+Q30</f>
        <v>1</v>
      </c>
      <c r="S29" s="126">
        <f>P29/P44</f>
        <v>0.73913043478260865</v>
      </c>
      <c r="T29" s="481">
        <f>S29+S30</f>
        <v>1</v>
      </c>
      <c r="V29" s="295" t="s">
        <v>41</v>
      </c>
      <c r="W29" s="151">
        <f>COUNTIFS('1. ALL DATA'!$Y$5:$Y$123,"CULTURAL SERVICES",'1. ALL DATA'!$V$5:$V$123,"Fully Achieved")</f>
        <v>0</v>
      </c>
      <c r="X29" s="126">
        <f>W29/$W$43</f>
        <v>0</v>
      </c>
      <c r="Y29" s="494">
        <f>X29+X30</f>
        <v>0</v>
      </c>
      <c r="Z29" s="126" t="e">
        <f>W29/$W$44</f>
        <v>#DIV/0!</v>
      </c>
      <c r="AA29" s="481" t="e">
        <f>Z29+Z30</f>
        <v>#DIV/0!</v>
      </c>
    </row>
    <row r="30" spans="1:27" ht="18.75" customHeight="1">
      <c r="A30" s="295" t="s">
        <v>42</v>
      </c>
      <c r="B30" s="72">
        <f>COUNTIFS('1. ALL DATA'!$Y$5:$Y$123,"CULTURAL SERVICES",'1. ALL DATA'!$H$5:$H$123,"On track to be achieved")</f>
        <v>14</v>
      </c>
      <c r="C30" s="126">
        <f>B30/B43</f>
        <v>0.60869565217391308</v>
      </c>
      <c r="D30" s="494"/>
      <c r="E30" s="126">
        <f>B30/B44</f>
        <v>0.66666666666666663</v>
      </c>
      <c r="F30" s="481"/>
      <c r="H30" s="295" t="s">
        <v>42</v>
      </c>
      <c r="I30" s="72">
        <f>COUNTIFS('1. ALL DATA'!$Y$5:$Y$123,"CULTURAL SERVICES",'1. ALL DATA'!$M$5:$M$123,"On track to be achieved")</f>
        <v>11</v>
      </c>
      <c r="J30" s="126">
        <f>I30/I43</f>
        <v>0.47826086956521741</v>
      </c>
      <c r="K30" s="494"/>
      <c r="L30" s="126">
        <f>I30/I44</f>
        <v>0.5</v>
      </c>
      <c r="M30" s="481"/>
      <c r="O30" s="295" t="s">
        <v>42</v>
      </c>
      <c r="P30" s="72">
        <f>COUNTIFS('1. ALL DATA'!$Y$5:$Y$123,"CULTURAL SERVICES",'1. ALL DATA'!$R$5:$R$123,"On track to be achieved")</f>
        <v>6</v>
      </c>
      <c r="Q30" s="126">
        <f>P30/P43</f>
        <v>0.2608695652173913</v>
      </c>
      <c r="R30" s="494"/>
      <c r="S30" s="126">
        <f>P30/P44</f>
        <v>0.2608695652173913</v>
      </c>
      <c r="T30" s="481"/>
      <c r="V30" s="295" t="s">
        <v>83</v>
      </c>
      <c r="W30" s="151">
        <f>COUNTIFS('1. ALL DATA'!$Y$5:$Y$123,"CULTURAL SERVICES",'1. ALL DATA'!$V$5:$V$123,"Numerical Outturn Within 5% Tolerance")</f>
        <v>0</v>
      </c>
      <c r="X30" s="126">
        <f>W30/$W$43</f>
        <v>0</v>
      </c>
      <c r="Y30" s="494"/>
      <c r="Z30" s="126" t="e">
        <f>W30/$W$44</f>
        <v>#DIV/0!</v>
      </c>
      <c r="AA30" s="481"/>
    </row>
    <row r="31" spans="1:27" s="64" customFormat="1" ht="6" customHeight="1">
      <c r="A31" s="184"/>
      <c r="B31" s="189"/>
      <c r="C31" s="185"/>
      <c r="D31" s="185"/>
      <c r="E31" s="185"/>
      <c r="F31" s="186"/>
      <c r="H31" s="184"/>
      <c r="I31" s="189"/>
      <c r="J31" s="185"/>
      <c r="K31" s="185"/>
      <c r="L31" s="185"/>
      <c r="M31" s="186"/>
      <c r="O31" s="184"/>
      <c r="P31" s="189"/>
      <c r="Q31" s="185"/>
      <c r="R31" s="185"/>
      <c r="S31" s="185"/>
      <c r="T31" s="186"/>
      <c r="V31" s="187"/>
      <c r="W31" s="184"/>
      <c r="X31" s="185"/>
      <c r="Y31" s="185"/>
      <c r="Z31" s="185"/>
      <c r="AA31" s="186"/>
    </row>
    <row r="32" spans="1:27" ht="21" customHeight="1">
      <c r="A32" s="476" t="s">
        <v>27</v>
      </c>
      <c r="B32" s="496">
        <f>COUNTIFS('1. ALL DATA'!$Y$5:$Y$123,"CULTURAL SERVICES",'1. ALL DATA'!$H$5:$H$123,"In danger of falling behind target")</f>
        <v>0</v>
      </c>
      <c r="C32" s="494">
        <f>B32/B43</f>
        <v>0</v>
      </c>
      <c r="D32" s="494">
        <f>C32</f>
        <v>0</v>
      </c>
      <c r="E32" s="494">
        <f>B32/B44</f>
        <v>0</v>
      </c>
      <c r="F32" s="479">
        <f>E32</f>
        <v>0</v>
      </c>
      <c r="H32" s="476" t="s">
        <v>27</v>
      </c>
      <c r="I32" s="496">
        <f>COUNTIFS('1. ALL DATA'!$Y$5:$Y$123,"CULTURAL SERVICES",'1. ALL DATA'!$M$5:$M$123,"In danger of falling behind target")</f>
        <v>0</v>
      </c>
      <c r="J32" s="494">
        <f>I32/I43</f>
        <v>0</v>
      </c>
      <c r="K32" s="494">
        <f>J32</f>
        <v>0</v>
      </c>
      <c r="L32" s="494">
        <f>I32/I44</f>
        <v>0</v>
      </c>
      <c r="M32" s="479">
        <f>L32</f>
        <v>0</v>
      </c>
      <c r="O32" s="476" t="s">
        <v>27</v>
      </c>
      <c r="P32" s="496">
        <f>COUNTIFS('1. ALL DATA'!$Y$5:$Y$123,"CULTURAL SERVICES",'1. ALL DATA'!$R$5:$R$123,"In danger of falling behind target")</f>
        <v>0</v>
      </c>
      <c r="Q32" s="494">
        <f>P32/P43</f>
        <v>0</v>
      </c>
      <c r="R32" s="494">
        <f>Q32</f>
        <v>0</v>
      </c>
      <c r="S32" s="494">
        <f>P32/P44</f>
        <v>0</v>
      </c>
      <c r="T32" s="479">
        <f>S32</f>
        <v>0</v>
      </c>
      <c r="V32" s="297" t="s">
        <v>84</v>
      </c>
      <c r="W32" s="276">
        <f>COUNTIFS('1. ALL DATA'!$Y$5:$Y$123,"CULTURAL SERVICES",'1. ALL DATA'!$V$5:$V$123,"Numerical Outturn Within 10% Tolerance")</f>
        <v>0</v>
      </c>
      <c r="X32" s="126">
        <f>W32/$W$43</f>
        <v>0</v>
      </c>
      <c r="Y32" s="497">
        <f>SUM(X32:X34)</f>
        <v>0</v>
      </c>
      <c r="Z32" s="75" t="e">
        <f>W32/$W$44</f>
        <v>#DIV/0!</v>
      </c>
      <c r="AA32" s="479" t="e">
        <f>SUM(Z32:Z34)</f>
        <v>#DIV/0!</v>
      </c>
    </row>
    <row r="33" spans="1:27" ht="20.25" customHeight="1">
      <c r="A33" s="476"/>
      <c r="B33" s="496"/>
      <c r="C33" s="494"/>
      <c r="D33" s="494"/>
      <c r="E33" s="494"/>
      <c r="F33" s="479"/>
      <c r="H33" s="476"/>
      <c r="I33" s="496"/>
      <c r="J33" s="494"/>
      <c r="K33" s="494"/>
      <c r="L33" s="494"/>
      <c r="M33" s="479"/>
      <c r="O33" s="476"/>
      <c r="P33" s="496"/>
      <c r="Q33" s="494"/>
      <c r="R33" s="494"/>
      <c r="S33" s="494"/>
      <c r="T33" s="479"/>
      <c r="V33" s="297" t="s">
        <v>85</v>
      </c>
      <c r="W33" s="276">
        <f>COUNTIFS('1. ALL DATA'!$Y$5:$Y$123,"CULTURAL SERVICES",'1. ALL DATA'!$V$5:$V$123,"Target Partially Met")</f>
        <v>0</v>
      </c>
      <c r="X33" s="126">
        <f>W33/$W$43</f>
        <v>0</v>
      </c>
      <c r="Y33" s="498"/>
      <c r="Z33" s="75" t="e">
        <f>W33/$W$44</f>
        <v>#DIV/0!</v>
      </c>
      <c r="AA33" s="479"/>
    </row>
    <row r="34" spans="1:27" ht="15.75" customHeight="1">
      <c r="A34" s="476"/>
      <c r="B34" s="496"/>
      <c r="C34" s="494"/>
      <c r="D34" s="494"/>
      <c r="E34" s="494"/>
      <c r="F34" s="479"/>
      <c r="H34" s="476"/>
      <c r="I34" s="496"/>
      <c r="J34" s="494"/>
      <c r="K34" s="494"/>
      <c r="L34" s="494"/>
      <c r="M34" s="479"/>
      <c r="O34" s="476"/>
      <c r="P34" s="496"/>
      <c r="Q34" s="494"/>
      <c r="R34" s="494"/>
      <c r="S34" s="494"/>
      <c r="T34" s="479"/>
      <c r="V34" s="297" t="s">
        <v>87</v>
      </c>
      <c r="W34" s="276">
        <f>COUNTIFS('1. ALL DATA'!$Y$5:$Y$123,"CULTURAL SERVICES",'1. ALL DATA'!$V$5:$V$123,"Completion Date Within Reasonable Tolerance")</f>
        <v>0</v>
      </c>
      <c r="X34" s="126">
        <f>W34/$W$43</f>
        <v>0</v>
      </c>
      <c r="Y34" s="499"/>
      <c r="Z34" s="75" t="e">
        <f>W34/$W$44</f>
        <v>#DIV/0!</v>
      </c>
      <c r="AA34" s="479"/>
    </row>
    <row r="35" spans="1:27" s="64" customFormat="1" ht="6" customHeight="1">
      <c r="A35" s="184"/>
      <c r="B35" s="184"/>
      <c r="C35" s="185"/>
      <c r="D35" s="185"/>
      <c r="E35" s="185"/>
      <c r="F35" s="186"/>
      <c r="H35" s="184"/>
      <c r="I35" s="184"/>
      <c r="J35" s="185"/>
      <c r="K35" s="185"/>
      <c r="L35" s="185"/>
      <c r="M35" s="186"/>
      <c r="O35" s="184"/>
      <c r="P35" s="184"/>
      <c r="Q35" s="185"/>
      <c r="R35" s="185"/>
      <c r="S35" s="185"/>
      <c r="T35" s="186"/>
      <c r="V35" s="187"/>
      <c r="W35" s="184"/>
      <c r="X35" s="185"/>
      <c r="Y35" s="185"/>
      <c r="Z35" s="185"/>
      <c r="AA35" s="186"/>
    </row>
    <row r="36" spans="1:27" ht="20.25" customHeight="1">
      <c r="A36" s="296" t="s">
        <v>43</v>
      </c>
      <c r="B36" s="72">
        <f>COUNTIFS('1. ALL DATA'!$Y$5:$Y$123,"CULTURAL SERVICES",'1. ALL DATA'!$H$5:$H$123,"Completed behind schedule")</f>
        <v>0</v>
      </c>
      <c r="C36" s="126">
        <f>B36/B43</f>
        <v>0</v>
      </c>
      <c r="D36" s="494">
        <f>C36+C37</f>
        <v>0</v>
      </c>
      <c r="E36" s="126">
        <f>B36/B44</f>
        <v>0</v>
      </c>
      <c r="F36" s="495">
        <f>E36+E37</f>
        <v>0</v>
      </c>
      <c r="H36" s="296" t="s">
        <v>43</v>
      </c>
      <c r="I36" s="72">
        <f>COUNTIFS('1. ALL DATA'!$Y$5:$Y$123,"CULTURAL SERVICES",'1. ALL DATA'!$M$5:$M$123,"Completed behind schedule")</f>
        <v>0</v>
      </c>
      <c r="J36" s="126">
        <f>I36/I43</f>
        <v>0</v>
      </c>
      <c r="K36" s="494">
        <f>J36+J37</f>
        <v>0</v>
      </c>
      <c r="L36" s="126">
        <f>I36/I44</f>
        <v>0</v>
      </c>
      <c r="M36" s="495">
        <f>L36+L37</f>
        <v>0</v>
      </c>
      <c r="O36" s="296" t="s">
        <v>43</v>
      </c>
      <c r="P36" s="72">
        <f>COUNTIFS('1. ALL DATA'!$Y$5:$Y$123,"CULTURAL SERVICES",'1. ALL DATA'!$R$5:$R$123,"Completed behind schedule")</f>
        <v>0</v>
      </c>
      <c r="Q36" s="126">
        <f>P36/P43</f>
        <v>0</v>
      </c>
      <c r="R36" s="494">
        <f>Q36+Q37</f>
        <v>0</v>
      </c>
      <c r="S36" s="126">
        <f>P36/P44</f>
        <v>0</v>
      </c>
      <c r="T36" s="495">
        <f>S36+S37</f>
        <v>0</v>
      </c>
      <c r="V36" s="296" t="s">
        <v>86</v>
      </c>
      <c r="W36" s="276">
        <f>COUNTIFS('1. ALL DATA'!$Y$5:$Y$123,"CULTURAL SERVICES",'1. ALL DATA'!$V$5:$V$123,"Completed Significantly After Target Deadline")</f>
        <v>0</v>
      </c>
      <c r="X36" s="126">
        <f>W36/$W$43</f>
        <v>0</v>
      </c>
      <c r="Y36" s="494">
        <f>X36+X37</f>
        <v>0</v>
      </c>
      <c r="Z36" s="126" t="e">
        <f>W36/W44</f>
        <v>#DIV/0!</v>
      </c>
      <c r="AA36" s="495" t="e">
        <f>Z36+Z37</f>
        <v>#DIV/0!</v>
      </c>
    </row>
    <row r="37" spans="1:27" ht="20.25" customHeight="1">
      <c r="A37" s="296" t="s">
        <v>28</v>
      </c>
      <c r="B37" s="72">
        <f>COUNTIFS('1. ALL DATA'!$Y$5:$Y$123,"CULTURAL SERVICES",'1. ALL DATA'!$H$5:$H$123,"Off target")</f>
        <v>0</v>
      </c>
      <c r="C37" s="126">
        <f>B37/B43</f>
        <v>0</v>
      </c>
      <c r="D37" s="494"/>
      <c r="E37" s="126">
        <f>B37/B44</f>
        <v>0</v>
      </c>
      <c r="F37" s="495"/>
      <c r="H37" s="296" t="s">
        <v>28</v>
      </c>
      <c r="I37" s="72">
        <f>COUNTIFS('1. ALL DATA'!$Y$5:$Y$123,"CULTURAL SERVICES",'1. ALL DATA'!$M$5:$M$123,"Off target")</f>
        <v>0</v>
      </c>
      <c r="J37" s="126">
        <f>I37/I43</f>
        <v>0</v>
      </c>
      <c r="K37" s="494"/>
      <c r="L37" s="126">
        <f>I37/I44</f>
        <v>0</v>
      </c>
      <c r="M37" s="495"/>
      <c r="O37" s="296" t="s">
        <v>28</v>
      </c>
      <c r="P37" s="72">
        <f>COUNTIFS('1. ALL DATA'!$Y$5:$Y$123,"CULTURAL SERVICES",'1. ALL DATA'!$R$5:$R$123,"Off target")</f>
        <v>0</v>
      </c>
      <c r="Q37" s="126">
        <f>P37/P43</f>
        <v>0</v>
      </c>
      <c r="R37" s="494"/>
      <c r="S37" s="126">
        <f>P37/P44</f>
        <v>0</v>
      </c>
      <c r="T37" s="495"/>
      <c r="V37" s="296" t="s">
        <v>28</v>
      </c>
      <c r="W37" s="276">
        <f>COUNTIFS('1. ALL DATA'!$Y$5:$Y$123,"CULTURAL SERVICES",'1. ALL DATA'!$V$5:$V$123,"Off Target")</f>
        <v>0</v>
      </c>
      <c r="X37" s="126">
        <f>W37/$W$43</f>
        <v>0</v>
      </c>
      <c r="Y37" s="494"/>
      <c r="Z37" s="126" t="e">
        <f>W37/W44</f>
        <v>#DIV/0!</v>
      </c>
      <c r="AA37" s="495"/>
    </row>
    <row r="38" spans="1:27" s="64" customFormat="1" ht="6.75" customHeight="1">
      <c r="A38" s="184"/>
      <c r="B38" s="189"/>
      <c r="C38" s="185"/>
      <c r="D38" s="185"/>
      <c r="E38" s="185"/>
      <c r="F38" s="190"/>
      <c r="H38" s="184"/>
      <c r="I38" s="189"/>
      <c r="J38" s="185"/>
      <c r="K38" s="185"/>
      <c r="L38" s="185"/>
      <c r="M38" s="190"/>
      <c r="O38" s="184"/>
      <c r="P38" s="189"/>
      <c r="Q38" s="185"/>
      <c r="R38" s="185"/>
      <c r="S38" s="185"/>
      <c r="T38" s="190"/>
      <c r="V38" s="366"/>
      <c r="W38" s="191"/>
      <c r="X38" s="192"/>
      <c r="Y38" s="192"/>
      <c r="Z38" s="193"/>
      <c r="AA38" s="256"/>
    </row>
    <row r="39" spans="1:27" ht="15" customHeight="1">
      <c r="A39" s="48" t="s">
        <v>2</v>
      </c>
      <c r="B39" s="63">
        <f>COUNTIFS('1. ALL DATA'!$Y$5:$Y$123,"CULTURAL SERVICES",'1. ALL DATA'!$H$5:$H$123,"Not yet due")</f>
        <v>2</v>
      </c>
      <c r="C39" s="78">
        <f>B39/B43</f>
        <v>8.6956521739130432E-2</v>
      </c>
      <c r="D39" s="78">
        <f>C39</f>
        <v>8.6956521739130432E-2</v>
      </c>
      <c r="E39" s="79"/>
      <c r="F39" s="47"/>
      <c r="H39" s="48" t="s">
        <v>2</v>
      </c>
      <c r="I39" s="63">
        <f>COUNTIFS('1. ALL DATA'!$Y$5:$Y$123,"CULTURAL SERVICES",'1. ALL DATA'!$M$5:$M$123,"Not yet due")</f>
        <v>1</v>
      </c>
      <c r="J39" s="78">
        <f>I39/I43</f>
        <v>4.3478260869565216E-2</v>
      </c>
      <c r="K39" s="78">
        <f>J39</f>
        <v>4.3478260869565216E-2</v>
      </c>
      <c r="L39" s="79"/>
      <c r="M39" s="47"/>
      <c r="O39" s="48" t="s">
        <v>2</v>
      </c>
      <c r="P39" s="63">
        <f>COUNTIFS('1. ALL DATA'!$Y$5:$Y$123,"CULTURAL SERVICES",'1. ALL DATA'!$R$5:$R$123,"Not yet due")</f>
        <v>0</v>
      </c>
      <c r="Q39" s="78">
        <f>P39/P43</f>
        <v>0</v>
      </c>
      <c r="R39" s="78">
        <f>Q39</f>
        <v>0</v>
      </c>
      <c r="S39" s="79"/>
      <c r="T39" s="99"/>
      <c r="V39" s="63" t="s">
        <v>2</v>
      </c>
      <c r="W39" s="48">
        <f>COUNTIFS('1. ALL DATA'!$Y$5:$Y$123,"CULTURAL SERVICES",'1. ALL DATA'!$V$5:$V$123,"not yet due")</f>
        <v>0</v>
      </c>
      <c r="X39" s="78">
        <f>W39/$W$43</f>
        <v>0</v>
      </c>
      <c r="Y39" s="78">
        <f>X39</f>
        <v>0</v>
      </c>
      <c r="Z39" s="79"/>
      <c r="AA39" s="258"/>
    </row>
    <row r="40" spans="1:27" ht="15" customHeight="1">
      <c r="A40" s="48" t="s">
        <v>47</v>
      </c>
      <c r="B40" s="63">
        <f>COUNTIFS('1. ALL DATA'!$Y$5:$Y$123,"CULTURAL SERVICES",'1. ALL DATA'!$H$5:$H$123,"Update not provided")</f>
        <v>0</v>
      </c>
      <c r="C40" s="78">
        <f>B40/B43</f>
        <v>0</v>
      </c>
      <c r="D40" s="78">
        <f>C40</f>
        <v>0</v>
      </c>
      <c r="E40" s="79"/>
      <c r="F40" s="104"/>
      <c r="H40" s="48" t="s">
        <v>47</v>
      </c>
      <c r="I40" s="63">
        <f>COUNTIFS('1. ALL DATA'!$Y$5:$Y$123,"CULTURAL SERVICES",'1. ALL DATA'!$M$5:$M$123,"Update not provided")</f>
        <v>0</v>
      </c>
      <c r="J40" s="78">
        <f>I40/I43</f>
        <v>0</v>
      </c>
      <c r="K40" s="78">
        <f>J40</f>
        <v>0</v>
      </c>
      <c r="L40" s="79"/>
      <c r="M40" s="104"/>
      <c r="O40" s="48" t="s">
        <v>47</v>
      </c>
      <c r="P40" s="63">
        <f>COUNTIFS('1. ALL DATA'!$Y$5:$Y$123,"CULTURAL SERVICES",'1. ALL DATA'!$R$5:$R$123,"Update not provided")</f>
        <v>0</v>
      </c>
      <c r="Q40" s="78">
        <f>P40/P43</f>
        <v>0</v>
      </c>
      <c r="R40" s="78">
        <f>Q40</f>
        <v>0</v>
      </c>
      <c r="S40" s="79"/>
      <c r="T40" s="100"/>
      <c r="V40" s="65" t="s">
        <v>47</v>
      </c>
      <c r="W40" s="48">
        <f>COUNTIFS('1. ALL DATA'!$Y$5:$Y$123,"CULTURAL SERVICES",'1. ALL DATA'!$V$5:$V$123,"Update not provided")</f>
        <v>23</v>
      </c>
      <c r="X40" s="78">
        <f>W40/$W$43</f>
        <v>1</v>
      </c>
      <c r="Y40" s="78">
        <f>X40</f>
        <v>1</v>
      </c>
      <c r="Z40" s="79"/>
    </row>
    <row r="41" spans="1:27" ht="15.75" customHeight="1">
      <c r="A41" s="49" t="s">
        <v>23</v>
      </c>
      <c r="B41" s="63">
        <f>COUNTIFS('1. ALL DATA'!$Y$5:$Y$123,"CULTURAL SERVICES",'1. ALL DATA'!$H$5:$H$123,"Deferred")</f>
        <v>0</v>
      </c>
      <c r="C41" s="81">
        <f>B41/B43</f>
        <v>0</v>
      </c>
      <c r="D41" s="81">
        <f>C41</f>
        <v>0</v>
      </c>
      <c r="E41" s="80"/>
      <c r="F41" s="47"/>
      <c r="H41" s="49" t="s">
        <v>23</v>
      </c>
      <c r="I41" s="63">
        <f>COUNTIFS('1. ALL DATA'!$Y$5:$Y$123,"CULTURAL SERVICES",'1. ALL DATA'!$M$5:$M$123,"Deferred")</f>
        <v>0</v>
      </c>
      <c r="J41" s="81">
        <f>I41/I43</f>
        <v>0</v>
      </c>
      <c r="K41" s="81">
        <f>J41</f>
        <v>0</v>
      </c>
      <c r="L41" s="80"/>
      <c r="M41" s="47"/>
      <c r="O41" s="49" t="s">
        <v>23</v>
      </c>
      <c r="P41" s="63">
        <f>COUNTIFS('1. ALL DATA'!$Y$5:$Y$123,"CULTURAL SERVICES",'1. ALL DATA'!$R$5:$R$123,"Deferred")</f>
        <v>0</v>
      </c>
      <c r="Q41" s="81">
        <f>P41/P43</f>
        <v>0</v>
      </c>
      <c r="R41" s="81">
        <f>Q41</f>
        <v>0</v>
      </c>
      <c r="S41" s="80"/>
      <c r="T41" s="99"/>
      <c r="V41" s="49" t="s">
        <v>23</v>
      </c>
      <c r="W41" s="48">
        <f>COUNTIFS('1. ALL DATA'!$Y$5:$Y$123,"CULTURAL SERVICES",'1. ALL DATA'!$V$5:$V$123,"Deferred")</f>
        <v>0</v>
      </c>
      <c r="X41" s="81">
        <f>W41/$W$43</f>
        <v>0</v>
      </c>
      <c r="Y41" s="81">
        <f>X41</f>
        <v>0</v>
      </c>
      <c r="Z41" s="80"/>
      <c r="AA41" s="258"/>
    </row>
    <row r="42" spans="1:27" ht="15.75" customHeight="1">
      <c r="A42" s="49" t="s">
        <v>29</v>
      </c>
      <c r="B42" s="63">
        <f>COUNTIFS('1. ALL DATA'!$Y$5:$Y$123,"CULTURAL SERVICES",'1. ALL DATA'!$H$5:$H$123,"Deleted")</f>
        <v>0</v>
      </c>
      <c r="C42" s="81">
        <f>B42/B43</f>
        <v>0</v>
      </c>
      <c r="D42" s="81">
        <f>C42</f>
        <v>0</v>
      </c>
      <c r="E42" s="80"/>
      <c r="F42" s="97" t="s">
        <v>63</v>
      </c>
      <c r="H42" s="49" t="s">
        <v>29</v>
      </c>
      <c r="I42" s="63">
        <f>COUNTIFS('1. ALL DATA'!$Y$5:$Y$123,"CULTURAL SERVICES",'1. ALL DATA'!$M$5:$M$123,"Deleted")</f>
        <v>0</v>
      </c>
      <c r="J42" s="81">
        <f>I42/I43</f>
        <v>0</v>
      </c>
      <c r="K42" s="81">
        <f>J42</f>
        <v>0</v>
      </c>
      <c r="L42" s="80"/>
      <c r="M42" s="105"/>
      <c r="O42" s="49" t="s">
        <v>29</v>
      </c>
      <c r="P42" s="63">
        <f>COUNTIFS('1. ALL DATA'!$Y$5:$Y$123,"CULTURAL SERVICES",'1. ALL DATA'!$R$5:$R$123,"Deleted")</f>
        <v>0</v>
      </c>
      <c r="Q42" s="81">
        <f>P42/P43</f>
        <v>0</v>
      </c>
      <c r="R42" s="81">
        <f>Q42</f>
        <v>0</v>
      </c>
      <c r="S42" s="80"/>
      <c r="T42" s="97" t="s">
        <v>63</v>
      </c>
      <c r="V42" s="49" t="s">
        <v>29</v>
      </c>
      <c r="W42" s="48">
        <f>COUNTIFS('1. ALL DATA'!$Y$5:$Y$123,"CULTURAL SERVICES",'1. ALL DATA'!$V$5:$V$123,"Deleted")</f>
        <v>0</v>
      </c>
      <c r="X42" s="81">
        <f>W42/$W$43</f>
        <v>0</v>
      </c>
      <c r="Y42" s="81">
        <f>X42</f>
        <v>0</v>
      </c>
      <c r="Z42" s="80"/>
      <c r="AA42" s="97" t="s">
        <v>63</v>
      </c>
    </row>
    <row r="43" spans="1:27" ht="15.75" customHeight="1">
      <c r="A43" s="50" t="s">
        <v>31</v>
      </c>
      <c r="B43" s="82">
        <f>SUM(B29:B42)</f>
        <v>23</v>
      </c>
      <c r="C43" s="80"/>
      <c r="D43" s="80"/>
      <c r="E43" s="52"/>
      <c r="F43" s="105"/>
      <c r="H43" s="50" t="s">
        <v>31</v>
      </c>
      <c r="I43" s="82">
        <f>SUM(I29:I42)</f>
        <v>23</v>
      </c>
      <c r="J43" s="80"/>
      <c r="K43" s="80"/>
      <c r="L43" s="52"/>
      <c r="M43" s="97" t="s">
        <v>63</v>
      </c>
      <c r="O43" s="50" t="s">
        <v>31</v>
      </c>
      <c r="P43" s="82">
        <f>SUM(P29:P42)</f>
        <v>23</v>
      </c>
      <c r="Q43" s="80"/>
      <c r="R43" s="80"/>
      <c r="S43" s="52"/>
      <c r="T43" s="99"/>
      <c r="V43" s="50" t="s">
        <v>31</v>
      </c>
      <c r="W43" s="87">
        <f>SUM(W29:W42)</f>
        <v>23</v>
      </c>
      <c r="X43" s="80"/>
      <c r="Y43" s="80"/>
      <c r="Z43" s="52"/>
      <c r="AA43" s="258"/>
    </row>
    <row r="44" spans="1:27" ht="15.75" customHeight="1">
      <c r="A44" s="50" t="s">
        <v>32</v>
      </c>
      <c r="B44" s="82">
        <f>B43-B42-B41-B40-B39</f>
        <v>21</v>
      </c>
      <c r="C44" s="52"/>
      <c r="D44" s="52"/>
      <c r="E44" s="52"/>
      <c r="F44" s="47"/>
      <c r="H44" s="50" t="s">
        <v>32</v>
      </c>
      <c r="I44" s="82">
        <f>I43-I42-I41-I40-I39</f>
        <v>22</v>
      </c>
      <c r="J44" s="52"/>
      <c r="K44" s="52"/>
      <c r="L44" s="52"/>
      <c r="M44" s="47"/>
      <c r="O44" s="50" t="s">
        <v>32</v>
      </c>
      <c r="P44" s="82">
        <f>P43-P42-P41-P40-P39</f>
        <v>23</v>
      </c>
      <c r="Q44" s="52"/>
      <c r="R44" s="52"/>
      <c r="S44" s="52"/>
      <c r="T44" s="99"/>
      <c r="V44" s="50" t="s">
        <v>32</v>
      </c>
      <c r="W44" s="87">
        <f>W43-W42-W41-W40-W39</f>
        <v>0</v>
      </c>
      <c r="X44" s="52"/>
      <c r="Y44" s="52"/>
      <c r="Z44" s="52"/>
      <c r="AA44" s="258"/>
    </row>
    <row r="45" spans="1:27" ht="15.75" customHeight="1">
      <c r="V45" s="66"/>
      <c r="W45" s="64"/>
      <c r="X45" s="64"/>
      <c r="Y45" s="64"/>
      <c r="Z45" s="52"/>
      <c r="AA45" s="258"/>
    </row>
    <row r="46" spans="1:27" ht="15.75" customHeight="1"/>
    <row r="47" spans="1:27" s="64" customFormat="1" ht="15.75" customHeight="1">
      <c r="A47" s="66"/>
      <c r="E47" s="52"/>
      <c r="F47" s="1"/>
      <c r="H47" s="66"/>
      <c r="L47" s="52"/>
      <c r="M47" s="1"/>
      <c r="O47" s="66"/>
      <c r="S47" s="52"/>
      <c r="T47" s="96"/>
      <c r="AA47" s="258"/>
    </row>
    <row r="48" spans="1:27" s="64" customFormat="1" ht="15.75" customHeight="1">
      <c r="A48" s="363" t="s">
        <v>274</v>
      </c>
      <c r="B48" s="357"/>
      <c r="C48" s="357"/>
      <c r="D48" s="357"/>
      <c r="E48" s="357"/>
      <c r="F48" s="358"/>
      <c r="H48" s="363" t="s">
        <v>274</v>
      </c>
      <c r="I48" s="357"/>
      <c r="J48" s="357"/>
      <c r="K48" s="357"/>
      <c r="L48" s="357"/>
      <c r="M48" s="358"/>
      <c r="O48" s="363" t="s">
        <v>274</v>
      </c>
      <c r="P48" s="357"/>
      <c r="Q48" s="357"/>
      <c r="R48" s="357"/>
      <c r="S48" s="357"/>
      <c r="T48" s="358"/>
      <c r="V48" s="363" t="s">
        <v>274</v>
      </c>
      <c r="W48" s="357"/>
      <c r="X48" s="357"/>
      <c r="Y48" s="357"/>
      <c r="Z48" s="357"/>
      <c r="AA48" s="358"/>
    </row>
    <row r="49" spans="1:27" ht="36" customHeight="1">
      <c r="A49" s="359" t="s">
        <v>24</v>
      </c>
      <c r="B49" s="359" t="s">
        <v>25</v>
      </c>
      <c r="C49" s="359" t="s">
        <v>19</v>
      </c>
      <c r="D49" s="359" t="s">
        <v>49</v>
      </c>
      <c r="E49" s="359" t="s">
        <v>30</v>
      </c>
      <c r="F49" s="360" t="s">
        <v>50</v>
      </c>
      <c r="H49" s="359" t="s">
        <v>24</v>
      </c>
      <c r="I49" s="359" t="s">
        <v>25</v>
      </c>
      <c r="J49" s="359" t="s">
        <v>19</v>
      </c>
      <c r="K49" s="359" t="s">
        <v>49</v>
      </c>
      <c r="L49" s="359" t="s">
        <v>30</v>
      </c>
      <c r="M49" s="360" t="s">
        <v>50</v>
      </c>
      <c r="O49" s="359" t="s">
        <v>24</v>
      </c>
      <c r="P49" s="359" t="s">
        <v>25</v>
      </c>
      <c r="Q49" s="359" t="s">
        <v>19</v>
      </c>
      <c r="R49" s="359" t="s">
        <v>49</v>
      </c>
      <c r="S49" s="359" t="s">
        <v>30</v>
      </c>
      <c r="T49" s="361" t="s">
        <v>50</v>
      </c>
      <c r="V49" s="359" t="s">
        <v>24</v>
      </c>
      <c r="W49" s="359" t="s">
        <v>25</v>
      </c>
      <c r="X49" s="359" t="s">
        <v>19</v>
      </c>
      <c r="Y49" s="359" t="s">
        <v>49</v>
      </c>
      <c r="Z49" s="359" t="s">
        <v>30</v>
      </c>
      <c r="AA49" s="362" t="s">
        <v>50</v>
      </c>
    </row>
    <row r="50" spans="1:27" s="64" customFormat="1" ht="7.5" customHeight="1">
      <c r="A50" s="184"/>
      <c r="B50" s="184"/>
      <c r="C50" s="184"/>
      <c r="D50" s="184"/>
      <c r="E50" s="184"/>
      <c r="F50" s="196"/>
      <c r="H50" s="184"/>
      <c r="I50" s="184"/>
      <c r="J50" s="184"/>
      <c r="K50" s="184"/>
      <c r="L50" s="184"/>
      <c r="M50" s="196"/>
      <c r="O50" s="184"/>
      <c r="P50" s="184"/>
      <c r="Q50" s="184"/>
      <c r="R50" s="184"/>
      <c r="S50" s="184"/>
      <c r="T50" s="197"/>
      <c r="V50" s="184"/>
      <c r="W50" s="184"/>
      <c r="X50" s="184"/>
      <c r="Y50" s="184"/>
      <c r="Z50" s="184"/>
      <c r="AA50" s="255"/>
    </row>
    <row r="51" spans="1:27" ht="18.75" customHeight="1">
      <c r="A51" s="295" t="s">
        <v>46</v>
      </c>
      <c r="B51" s="72">
        <f>COUNTIFS('1. ALL DATA'!$Y$5:$Y$123,"ENTERPRISE",'1. ALL DATA'!$H$5:$H$123,"Fully Achieved")</f>
        <v>3</v>
      </c>
      <c r="C51" s="126">
        <f>B51/B65</f>
        <v>0.1875</v>
      </c>
      <c r="D51" s="494">
        <f>C51+C52</f>
        <v>0.75</v>
      </c>
      <c r="E51" s="126">
        <f>B51/B66</f>
        <v>0.25</v>
      </c>
      <c r="F51" s="481">
        <f>E51+E52</f>
        <v>1</v>
      </c>
      <c r="H51" s="295" t="s">
        <v>46</v>
      </c>
      <c r="I51" s="72">
        <f>COUNTIFS('1. ALL DATA'!$Y$5:$Y$123,"ENTERPRISE",'1. ALL DATA'!$M$5:$M$123,"Fully Achieved")</f>
        <v>5</v>
      </c>
      <c r="J51" s="126">
        <f>I51/I65</f>
        <v>0.3125</v>
      </c>
      <c r="K51" s="494">
        <f>J51+J52</f>
        <v>0.8125</v>
      </c>
      <c r="L51" s="126">
        <f>I51/I66</f>
        <v>0.38461538461538464</v>
      </c>
      <c r="M51" s="481">
        <f>L51+L52</f>
        <v>1</v>
      </c>
      <c r="O51" s="295" t="s">
        <v>46</v>
      </c>
      <c r="P51" s="72">
        <f>COUNTIFS('1. ALL DATA'!$Y$5:$Y$123,"ENTERPRISE",'1. ALL DATA'!$R$5:$R$123,"Fully Achieved")</f>
        <v>6</v>
      </c>
      <c r="Q51" s="126">
        <f>P51/P65</f>
        <v>0.375</v>
      </c>
      <c r="R51" s="494">
        <f>Q51+Q52</f>
        <v>0.8125</v>
      </c>
      <c r="S51" s="126">
        <f>P51/P66</f>
        <v>0.46153846153846156</v>
      </c>
      <c r="T51" s="481">
        <f>S51+S52</f>
        <v>1</v>
      </c>
      <c r="V51" s="295" t="s">
        <v>41</v>
      </c>
      <c r="W51" s="151">
        <f>COUNTIFS('1. ALL DATA'!$Y$5:$Y$123,"ENTERPRISE",'1. ALL DATA'!$V$5:$V$123,"Fully Achieved")</f>
        <v>0</v>
      </c>
      <c r="X51" s="126">
        <f>W51/$W$65</f>
        <v>0</v>
      </c>
      <c r="Y51" s="494">
        <f>X51+X52</f>
        <v>0</v>
      </c>
      <c r="Z51" s="126" t="e">
        <f>W51/$W$66</f>
        <v>#DIV/0!</v>
      </c>
      <c r="AA51" s="481" t="e">
        <f>Z51+Z52</f>
        <v>#DIV/0!</v>
      </c>
    </row>
    <row r="52" spans="1:27" ht="18.75" customHeight="1">
      <c r="A52" s="295" t="s">
        <v>42</v>
      </c>
      <c r="B52" s="72">
        <f>COUNTIFS('1. ALL DATA'!$Y$5:$Y$123,"ENTERPRISE",'1. ALL DATA'!$H$5:$H$123,"On track to be achieved")</f>
        <v>9</v>
      </c>
      <c r="C52" s="126">
        <f>B52/B65</f>
        <v>0.5625</v>
      </c>
      <c r="D52" s="494"/>
      <c r="E52" s="126">
        <f>B52/B66</f>
        <v>0.75</v>
      </c>
      <c r="F52" s="481"/>
      <c r="H52" s="295" t="s">
        <v>42</v>
      </c>
      <c r="I52" s="72">
        <f>COUNTIFS('1. ALL DATA'!$Y$5:$Y$123,"ENTERPRISE",'1. ALL DATA'!$M$5:$M$123,"On track to be achieved")</f>
        <v>8</v>
      </c>
      <c r="J52" s="126">
        <f>I52/I65</f>
        <v>0.5</v>
      </c>
      <c r="K52" s="494"/>
      <c r="L52" s="126">
        <f>I52/I66</f>
        <v>0.61538461538461542</v>
      </c>
      <c r="M52" s="481"/>
      <c r="O52" s="295" t="s">
        <v>42</v>
      </c>
      <c r="P52" s="72">
        <f>COUNTIFS('1. ALL DATA'!$Y$5:$Y$123,"ENTERPRISE",'1. ALL DATA'!$R$5:$R$123,"On track to be achieved")</f>
        <v>7</v>
      </c>
      <c r="Q52" s="126">
        <f>P52/P65</f>
        <v>0.4375</v>
      </c>
      <c r="R52" s="494"/>
      <c r="S52" s="126">
        <f>P52/P66</f>
        <v>0.53846153846153844</v>
      </c>
      <c r="T52" s="481"/>
      <c r="V52" s="295" t="s">
        <v>83</v>
      </c>
      <c r="W52" s="151">
        <f>COUNTIFS('1. ALL DATA'!$Y$5:$Y$123,"ENTERPRISE",'1. ALL DATA'!$V$5:$V$123,"Numerical Outturn Within 5% Tolerance")</f>
        <v>0</v>
      </c>
      <c r="X52" s="126">
        <f>W52/$W$65</f>
        <v>0</v>
      </c>
      <c r="Y52" s="494"/>
      <c r="Z52" s="126" t="e">
        <f>W52/$W$66</f>
        <v>#DIV/0!</v>
      </c>
      <c r="AA52" s="481"/>
    </row>
    <row r="53" spans="1:27" s="64" customFormat="1" ht="6.75" customHeight="1">
      <c r="A53" s="184"/>
      <c r="B53" s="189"/>
      <c r="C53" s="185"/>
      <c r="D53" s="185"/>
      <c r="E53" s="185"/>
      <c r="F53" s="186"/>
      <c r="H53" s="184"/>
      <c r="I53" s="189"/>
      <c r="J53" s="185"/>
      <c r="K53" s="185"/>
      <c r="L53" s="185"/>
      <c r="M53" s="186"/>
      <c r="O53" s="184"/>
      <c r="P53" s="189"/>
      <c r="Q53" s="185"/>
      <c r="R53" s="185"/>
      <c r="S53" s="185"/>
      <c r="T53" s="186"/>
      <c r="V53" s="187"/>
      <c r="W53" s="184"/>
      <c r="X53" s="185"/>
      <c r="Y53" s="185"/>
      <c r="Z53" s="185"/>
      <c r="AA53" s="186"/>
    </row>
    <row r="54" spans="1:27" ht="16.5" customHeight="1">
      <c r="A54" s="476" t="s">
        <v>27</v>
      </c>
      <c r="B54" s="496">
        <f>COUNTIFS('1. ALL DATA'!$Y$5:$Y$123,"ENTERPRISE",'1. ALL DATA'!$H$5:$H$123,"In danger of falling behind target")</f>
        <v>0</v>
      </c>
      <c r="C54" s="494">
        <f>B54/B65</f>
        <v>0</v>
      </c>
      <c r="D54" s="494">
        <f>C54</f>
        <v>0</v>
      </c>
      <c r="E54" s="494">
        <f>B54/B66</f>
        <v>0</v>
      </c>
      <c r="F54" s="479">
        <f>E54</f>
        <v>0</v>
      </c>
      <c r="H54" s="476" t="s">
        <v>27</v>
      </c>
      <c r="I54" s="496">
        <f>COUNTIFS('1. ALL DATA'!$Y$5:$Y$123,"ENTERPRISE",'1. ALL DATA'!$M$5:$M$123,"In danger of falling behind target")</f>
        <v>0</v>
      </c>
      <c r="J54" s="494">
        <f>I54/I65</f>
        <v>0</v>
      </c>
      <c r="K54" s="494">
        <f>J54</f>
        <v>0</v>
      </c>
      <c r="L54" s="494">
        <f>I54/I66</f>
        <v>0</v>
      </c>
      <c r="M54" s="479">
        <f>L54</f>
        <v>0</v>
      </c>
      <c r="O54" s="476" t="s">
        <v>27</v>
      </c>
      <c r="P54" s="496">
        <f>COUNTIFS('1. ALL DATA'!$Y$5:$Y$123,"ENTERPRISE",'1. ALL DATA'!$R$5:$R$123,"In danger of falling behind target")</f>
        <v>0</v>
      </c>
      <c r="Q54" s="494">
        <f>P54/P65</f>
        <v>0</v>
      </c>
      <c r="R54" s="494">
        <f>Q54</f>
        <v>0</v>
      </c>
      <c r="S54" s="494">
        <f>P54/P66</f>
        <v>0</v>
      </c>
      <c r="T54" s="479">
        <f>S54</f>
        <v>0</v>
      </c>
      <c r="V54" s="297" t="s">
        <v>84</v>
      </c>
      <c r="W54" s="276">
        <f>COUNTIFS('1. ALL DATA'!$Y$5:$Y$123,"ENTERPRISE",'1. ALL DATA'!$V$5:$V$123,"Numerical Outturn Within 10% Tolerance")</f>
        <v>0</v>
      </c>
      <c r="X54" s="126">
        <f>W54/$W$65</f>
        <v>0</v>
      </c>
      <c r="Y54" s="497">
        <f>SUM(X54:X56)</f>
        <v>0</v>
      </c>
      <c r="Z54" s="75" t="e">
        <f>W54/$W$66</f>
        <v>#DIV/0!</v>
      </c>
      <c r="AA54" s="479" t="e">
        <f>SUM(Z54:Z56)</f>
        <v>#DIV/0!</v>
      </c>
    </row>
    <row r="55" spans="1:27" ht="16.5" customHeight="1">
      <c r="A55" s="476"/>
      <c r="B55" s="496"/>
      <c r="C55" s="494"/>
      <c r="D55" s="494"/>
      <c r="E55" s="494"/>
      <c r="F55" s="479"/>
      <c r="H55" s="476"/>
      <c r="I55" s="496"/>
      <c r="J55" s="494"/>
      <c r="K55" s="494"/>
      <c r="L55" s="494"/>
      <c r="M55" s="479"/>
      <c r="O55" s="476"/>
      <c r="P55" s="496"/>
      <c r="Q55" s="494"/>
      <c r="R55" s="494"/>
      <c r="S55" s="494"/>
      <c r="T55" s="479"/>
      <c r="V55" s="297" t="s">
        <v>85</v>
      </c>
      <c r="W55" s="276">
        <f>COUNTIFS('1. ALL DATA'!$Y$5:$Y$123,"ENTERPRISE",'1. ALL DATA'!$V$5:$V$123,"Target Partially Met")</f>
        <v>0</v>
      </c>
      <c r="X55" s="126">
        <f>W55/$W$65</f>
        <v>0</v>
      </c>
      <c r="Y55" s="498"/>
      <c r="Z55" s="75" t="e">
        <f>W55/$W$66</f>
        <v>#DIV/0!</v>
      </c>
      <c r="AA55" s="479"/>
    </row>
    <row r="56" spans="1:27" ht="16.5" customHeight="1">
      <c r="A56" s="476"/>
      <c r="B56" s="496"/>
      <c r="C56" s="494"/>
      <c r="D56" s="494"/>
      <c r="E56" s="494"/>
      <c r="F56" s="479"/>
      <c r="H56" s="476"/>
      <c r="I56" s="496"/>
      <c r="J56" s="494"/>
      <c r="K56" s="494"/>
      <c r="L56" s="494"/>
      <c r="M56" s="479"/>
      <c r="O56" s="476"/>
      <c r="P56" s="496"/>
      <c r="Q56" s="494"/>
      <c r="R56" s="494"/>
      <c r="S56" s="494"/>
      <c r="T56" s="479"/>
      <c r="V56" s="297" t="s">
        <v>87</v>
      </c>
      <c r="W56" s="276">
        <f>COUNTIFS('1. ALL DATA'!$Y$5:$Y$123,"ENTERPRISE",'1. ALL DATA'!$V$5:$V$123,"Completion Date Within Reasonable Tolerance")</f>
        <v>0</v>
      </c>
      <c r="X56" s="126">
        <f>W56/$W$65</f>
        <v>0</v>
      </c>
      <c r="Y56" s="499"/>
      <c r="Z56" s="75" t="e">
        <f>W56/$W$66</f>
        <v>#DIV/0!</v>
      </c>
      <c r="AA56" s="479"/>
    </row>
    <row r="57" spans="1:27" s="64" customFormat="1" ht="6" customHeight="1">
      <c r="A57" s="184"/>
      <c r="B57" s="184"/>
      <c r="C57" s="185"/>
      <c r="D57" s="185"/>
      <c r="E57" s="185"/>
      <c r="F57" s="186"/>
      <c r="H57" s="184"/>
      <c r="I57" s="184"/>
      <c r="J57" s="185"/>
      <c r="K57" s="185"/>
      <c r="L57" s="185"/>
      <c r="M57" s="186"/>
      <c r="O57" s="184"/>
      <c r="P57" s="184"/>
      <c r="Q57" s="185"/>
      <c r="R57" s="185"/>
      <c r="S57" s="185"/>
      <c r="T57" s="186"/>
      <c r="V57" s="187"/>
      <c r="W57" s="184"/>
      <c r="X57" s="185"/>
      <c r="Y57" s="185"/>
      <c r="Z57" s="185"/>
      <c r="AA57" s="186"/>
    </row>
    <row r="58" spans="1:27" ht="22.5" customHeight="1">
      <c r="A58" s="296" t="s">
        <v>43</v>
      </c>
      <c r="B58" s="72">
        <f>COUNTIFS('1. ALL DATA'!$Y$5:$Y$123,"ENTERPRISE",'1. ALL DATA'!$H$5:$H$123,"Completed behind schedule")</f>
        <v>0</v>
      </c>
      <c r="C58" s="126">
        <f>B58/B65</f>
        <v>0</v>
      </c>
      <c r="D58" s="494">
        <f>C58+C59</f>
        <v>0</v>
      </c>
      <c r="E58" s="126">
        <f>B58/B66</f>
        <v>0</v>
      </c>
      <c r="F58" s="495">
        <f>E58+E59</f>
        <v>0</v>
      </c>
      <c r="H58" s="296" t="s">
        <v>43</v>
      </c>
      <c r="I58" s="72">
        <f>COUNTIFS('1. ALL DATA'!$Y$5:$Y$123,"ENTERPRISE",'1. ALL DATA'!$M$5:$M$123,"Completed behind schedule")</f>
        <v>0</v>
      </c>
      <c r="J58" s="126">
        <f>I58/I65</f>
        <v>0</v>
      </c>
      <c r="K58" s="494">
        <f>J58+J59</f>
        <v>0</v>
      </c>
      <c r="L58" s="126">
        <f>I58/I66</f>
        <v>0</v>
      </c>
      <c r="M58" s="495">
        <f>L58+L59</f>
        <v>0</v>
      </c>
      <c r="O58" s="296" t="s">
        <v>43</v>
      </c>
      <c r="P58" s="72">
        <f>COUNTIFS('1. ALL DATA'!$Y$5:$Y$123,"ENTERPRISE",'1. ALL DATA'!$R$5:$R$123,"Completed behind schedule")</f>
        <v>0</v>
      </c>
      <c r="Q58" s="126">
        <f>P58/P65</f>
        <v>0</v>
      </c>
      <c r="R58" s="494">
        <f>Q58+Q59</f>
        <v>0</v>
      </c>
      <c r="S58" s="126">
        <f>P58/P66</f>
        <v>0</v>
      </c>
      <c r="T58" s="495">
        <f>S58+S59</f>
        <v>0</v>
      </c>
      <c r="V58" s="296" t="s">
        <v>86</v>
      </c>
      <c r="W58" s="276">
        <f>COUNTIFS('1. ALL DATA'!$Y$5:$Y$123,"ENTERPRISE",'1. ALL DATA'!$V$5:$V$123,"Completed Significantly After Target Deadline")</f>
        <v>0</v>
      </c>
      <c r="X58" s="126">
        <f>W58/$W$65</f>
        <v>0</v>
      </c>
      <c r="Y58" s="494">
        <f>X58+X59</f>
        <v>0</v>
      </c>
      <c r="Z58" s="126" t="e">
        <f>W58/$W$66</f>
        <v>#DIV/0!</v>
      </c>
      <c r="AA58" s="495" t="e">
        <f>Z58+Z59</f>
        <v>#DIV/0!</v>
      </c>
    </row>
    <row r="59" spans="1:27" ht="22.5" customHeight="1">
      <c r="A59" s="296" t="s">
        <v>28</v>
      </c>
      <c r="B59" s="72">
        <f>COUNTIFS('1. ALL DATA'!$Y$5:$Y$123,"ENTERPRISE",'1. ALL DATA'!$H$5:$H$123,"Off target")</f>
        <v>0</v>
      </c>
      <c r="C59" s="126">
        <f>B59/B65</f>
        <v>0</v>
      </c>
      <c r="D59" s="494"/>
      <c r="E59" s="126">
        <f>B59/B66</f>
        <v>0</v>
      </c>
      <c r="F59" s="495"/>
      <c r="H59" s="296" t="s">
        <v>28</v>
      </c>
      <c r="I59" s="72">
        <f>COUNTIFS('1. ALL DATA'!$Y$5:$Y$123,"ENTERPRISE",'1. ALL DATA'!$M$5:$M$123,"Off target")</f>
        <v>0</v>
      </c>
      <c r="J59" s="126">
        <f>I59/I65</f>
        <v>0</v>
      </c>
      <c r="K59" s="494"/>
      <c r="L59" s="126">
        <f>I59/I66</f>
        <v>0</v>
      </c>
      <c r="M59" s="495"/>
      <c r="O59" s="296" t="s">
        <v>28</v>
      </c>
      <c r="P59" s="72">
        <f>COUNTIFS('1. ALL DATA'!$Y$5:$Y$123,"ENTERPRISE",'1. ALL DATA'!$R$5:$R$123,"Off target")</f>
        <v>0</v>
      </c>
      <c r="Q59" s="126">
        <f>P59/P65</f>
        <v>0</v>
      </c>
      <c r="R59" s="494"/>
      <c r="S59" s="126">
        <f>P59/P66</f>
        <v>0</v>
      </c>
      <c r="T59" s="495"/>
      <c r="V59" s="296" t="s">
        <v>28</v>
      </c>
      <c r="W59" s="276">
        <f>COUNTIFS('1. ALL DATA'!$Y$5:$Y$123,"ENTERPRISE",'1. ALL DATA'!$V$5:$V$123,"Off Target")</f>
        <v>0</v>
      </c>
      <c r="X59" s="126">
        <f>W59/$W$65</f>
        <v>0</v>
      </c>
      <c r="Y59" s="494"/>
      <c r="Z59" s="126" t="e">
        <f>W59/$W$66</f>
        <v>#DIV/0!</v>
      </c>
      <c r="AA59" s="495"/>
    </row>
    <row r="60" spans="1:27" s="64" customFormat="1" ht="6.75" customHeight="1">
      <c r="A60" s="184"/>
      <c r="B60" s="189"/>
      <c r="C60" s="185"/>
      <c r="D60" s="185"/>
      <c r="E60" s="185"/>
      <c r="F60" s="190"/>
      <c r="H60" s="184"/>
      <c r="I60" s="189"/>
      <c r="J60" s="185"/>
      <c r="K60" s="185"/>
      <c r="L60" s="185"/>
      <c r="M60" s="190"/>
      <c r="O60" s="184"/>
      <c r="P60" s="189"/>
      <c r="Q60" s="185"/>
      <c r="R60" s="185"/>
      <c r="S60" s="185"/>
      <c r="T60" s="190"/>
      <c r="V60" s="366"/>
      <c r="W60" s="191"/>
      <c r="X60" s="192"/>
      <c r="Y60" s="192"/>
      <c r="Z60" s="193"/>
      <c r="AA60" s="256"/>
    </row>
    <row r="61" spans="1:27" ht="15.75" customHeight="1">
      <c r="A61" s="48" t="s">
        <v>2</v>
      </c>
      <c r="B61" s="63">
        <f>COUNTIFS('1. ALL DATA'!$Y$5:$Y$123,"ENTERPRISE",'1. ALL DATA'!$H$5:$H$123,"Not yet due")</f>
        <v>3</v>
      </c>
      <c r="C61" s="78">
        <f>B61/B65</f>
        <v>0.1875</v>
      </c>
      <c r="D61" s="78">
        <f>C61</f>
        <v>0.1875</v>
      </c>
      <c r="E61" s="79"/>
      <c r="F61" s="47"/>
      <c r="H61" s="48" t="s">
        <v>2</v>
      </c>
      <c r="I61" s="63">
        <f>COUNTIFS('1. ALL DATA'!$Y$5:$Y$123,"ENTERPRISE",'1. ALL DATA'!$M$5:$M$123,"Not yet due")</f>
        <v>2</v>
      </c>
      <c r="J61" s="78">
        <f>I61/I65</f>
        <v>0.125</v>
      </c>
      <c r="K61" s="78">
        <f>J61</f>
        <v>0.125</v>
      </c>
      <c r="L61" s="79"/>
      <c r="M61" s="47"/>
      <c r="O61" s="48" t="s">
        <v>2</v>
      </c>
      <c r="P61" s="63">
        <f>COUNTIFS('1. ALL DATA'!$Y$5:$Y$123,"ENTERPRISE",'1. ALL DATA'!$R$5:$R$123,"Not yet due")</f>
        <v>2</v>
      </c>
      <c r="Q61" s="78">
        <f>P61/P65</f>
        <v>0.125</v>
      </c>
      <c r="R61" s="78">
        <f>Q61</f>
        <v>0.125</v>
      </c>
      <c r="S61" s="79"/>
      <c r="T61" s="99"/>
      <c r="V61" s="63" t="s">
        <v>2</v>
      </c>
      <c r="W61" s="48">
        <f>COUNTIFS('1. ALL DATA'!$Y$5:$Y$123,"ENTERPRISE",'1. ALL DATA'!$V$5:$V$123,"not yet due")</f>
        <v>0</v>
      </c>
      <c r="X61" s="78">
        <f>W61/$W$65</f>
        <v>0</v>
      </c>
      <c r="Y61" s="78">
        <f>X61</f>
        <v>0</v>
      </c>
      <c r="Z61" s="79"/>
      <c r="AA61" s="258"/>
    </row>
    <row r="62" spans="1:27" ht="15.75" customHeight="1">
      <c r="A62" s="48" t="s">
        <v>47</v>
      </c>
      <c r="B62" s="63">
        <f>COUNTIFS('1. ALL DATA'!$Y$5:$Y$123,"ENTERPRISE",'1. ALL DATA'!$H$5:$H$123,"Update not provided")</f>
        <v>0</v>
      </c>
      <c r="C62" s="78">
        <f>B62/B65</f>
        <v>0</v>
      </c>
      <c r="D62" s="78">
        <f>C62</f>
        <v>0</v>
      </c>
      <c r="E62" s="79"/>
      <c r="F62" s="104"/>
      <c r="H62" s="48" t="s">
        <v>47</v>
      </c>
      <c r="I62" s="63">
        <f>COUNTIFS('1. ALL DATA'!$Y$5:$Y$123,"ENTERPRISE",'1. ALL DATA'!$M$5:$M$123,"Update not provided")</f>
        <v>0</v>
      </c>
      <c r="J62" s="78">
        <f>I62/I65</f>
        <v>0</v>
      </c>
      <c r="K62" s="78">
        <f>J62</f>
        <v>0</v>
      </c>
      <c r="L62" s="79"/>
      <c r="M62" s="104"/>
      <c r="O62" s="48" t="s">
        <v>47</v>
      </c>
      <c r="P62" s="63">
        <f>COUNTIFS('1. ALL DATA'!$Y$5:$Y$123,"ENTERPRISE",'1. ALL DATA'!$R$5:$R$123,"Update not provided")</f>
        <v>0</v>
      </c>
      <c r="Q62" s="78">
        <f>P62/P65</f>
        <v>0</v>
      </c>
      <c r="R62" s="78">
        <f>Q62</f>
        <v>0</v>
      </c>
      <c r="S62" s="79"/>
      <c r="T62" s="100"/>
      <c r="V62" s="65" t="s">
        <v>47</v>
      </c>
      <c r="W62" s="48">
        <f>COUNTIFS('1. ALL DATA'!$Y$5:$Y$123,"ENTERPRISE",'1. ALL DATA'!$V$5:$V$123,"Update not provided")</f>
        <v>16</v>
      </c>
      <c r="X62" s="78">
        <f>W62/$W$65</f>
        <v>1</v>
      </c>
      <c r="Y62" s="78">
        <f>X62</f>
        <v>1</v>
      </c>
      <c r="Z62" s="79"/>
    </row>
    <row r="63" spans="1:27" ht="15.75" customHeight="1">
      <c r="A63" s="49" t="s">
        <v>23</v>
      </c>
      <c r="B63" s="63">
        <f>COUNTIFS('1. ALL DATA'!$Y$5:$Y$123,"ENTERPRISE",'1. ALL DATA'!$H$5:$H$123,"Deferred")</f>
        <v>0</v>
      </c>
      <c r="C63" s="81">
        <f>B63/B65</f>
        <v>0</v>
      </c>
      <c r="D63" s="81">
        <f>C63</f>
        <v>0</v>
      </c>
      <c r="E63" s="80"/>
      <c r="F63" s="47"/>
      <c r="H63" s="49" t="s">
        <v>23</v>
      </c>
      <c r="I63" s="63">
        <f>COUNTIFS('1. ALL DATA'!$Y$5:$Y$123,"ENTERPRISE",'1. ALL DATA'!$M$5:$M$123,"Deferred")</f>
        <v>0</v>
      </c>
      <c r="J63" s="81">
        <f>I63/I65</f>
        <v>0</v>
      </c>
      <c r="K63" s="81">
        <f>J63</f>
        <v>0</v>
      </c>
      <c r="L63" s="80"/>
      <c r="M63" s="47"/>
      <c r="O63" s="49" t="s">
        <v>23</v>
      </c>
      <c r="P63" s="63">
        <f>COUNTIFS('1. ALL DATA'!$Y$5:$Y$123,"ENTERPRISE",'1. ALL DATA'!$R$5:$R$123,"Deferred")</f>
        <v>0</v>
      </c>
      <c r="Q63" s="81">
        <f>P63/P65</f>
        <v>0</v>
      </c>
      <c r="R63" s="81">
        <f>Q63</f>
        <v>0</v>
      </c>
      <c r="S63" s="80"/>
      <c r="T63" s="99"/>
      <c r="V63" s="49" t="s">
        <v>23</v>
      </c>
      <c r="W63" s="48">
        <f>COUNTIFS('1. ALL DATA'!$Y$5:$Y$123,"ENTERPRISE",'1. ALL DATA'!$V$5:$V$123,"Deferred")</f>
        <v>0</v>
      </c>
      <c r="X63" s="81">
        <f>W63/$W$65</f>
        <v>0</v>
      </c>
      <c r="Y63" s="81">
        <f>X63</f>
        <v>0</v>
      </c>
      <c r="Z63" s="80"/>
      <c r="AA63" s="258"/>
    </row>
    <row r="64" spans="1:27" ht="15.75" customHeight="1">
      <c r="A64" s="49" t="s">
        <v>29</v>
      </c>
      <c r="B64" s="63">
        <f>COUNTIFS('1. ALL DATA'!$Y$5:$Y$123,"ENTERPRISE",'1. ALL DATA'!$H$5:$H$123,"Deleted")</f>
        <v>1</v>
      </c>
      <c r="C64" s="81">
        <f>B64/B65</f>
        <v>6.25E-2</v>
      </c>
      <c r="D64" s="81">
        <f>C64</f>
        <v>6.25E-2</v>
      </c>
      <c r="E64" s="80"/>
      <c r="F64" s="97" t="s">
        <v>63</v>
      </c>
      <c r="H64" s="49" t="s">
        <v>29</v>
      </c>
      <c r="I64" s="63">
        <f>COUNTIFS('1. ALL DATA'!$Y$5:$Y$123,"ENTERPRISE",'1. ALL DATA'!$M$5:$M$123,"Deleted")</f>
        <v>1</v>
      </c>
      <c r="J64" s="81">
        <f>I64/I65</f>
        <v>6.25E-2</v>
      </c>
      <c r="K64" s="81">
        <f>J64</f>
        <v>6.25E-2</v>
      </c>
      <c r="L64" s="80"/>
      <c r="M64" s="97" t="s">
        <v>63</v>
      </c>
      <c r="O64" s="49" t="s">
        <v>29</v>
      </c>
      <c r="P64" s="63">
        <f>COUNTIFS('1. ALL DATA'!$Y$5:$Y$123,"ENTERPRISE",'1. ALL DATA'!$R$5:$R$123,"Deleted")</f>
        <v>1</v>
      </c>
      <c r="Q64" s="81">
        <f>P64/P65</f>
        <v>6.25E-2</v>
      </c>
      <c r="R64" s="81">
        <f>Q64</f>
        <v>6.25E-2</v>
      </c>
      <c r="S64" s="80"/>
      <c r="T64" s="97" t="s">
        <v>63</v>
      </c>
      <c r="V64" s="49" t="s">
        <v>29</v>
      </c>
      <c r="W64" s="48">
        <f>COUNTIFS('1. ALL DATA'!$Y$5:$Y$123,"ENTERPRISE",'1. ALL DATA'!$V$5:$V$123,"Deleted")</f>
        <v>0</v>
      </c>
      <c r="X64" s="81">
        <f>W64/$W$65</f>
        <v>0</v>
      </c>
      <c r="Y64" s="81">
        <f>X64</f>
        <v>0</v>
      </c>
      <c r="Z64" s="80"/>
      <c r="AA64" s="97" t="s">
        <v>63</v>
      </c>
    </row>
    <row r="65" spans="1:27" ht="15.75" customHeight="1">
      <c r="A65" s="50" t="s">
        <v>31</v>
      </c>
      <c r="B65" s="82">
        <f>SUM(B51:B64)</f>
        <v>16</v>
      </c>
      <c r="C65" s="80"/>
      <c r="D65" s="80"/>
      <c r="E65" s="52"/>
      <c r="F65" s="105"/>
      <c r="H65" s="50" t="s">
        <v>31</v>
      </c>
      <c r="I65" s="82">
        <f>SUM(I51:I64)</f>
        <v>16</v>
      </c>
      <c r="J65" s="80"/>
      <c r="K65" s="80"/>
      <c r="L65" s="52"/>
      <c r="M65" s="47"/>
      <c r="O65" s="50" t="s">
        <v>31</v>
      </c>
      <c r="P65" s="82">
        <f>SUM(P51:P64)</f>
        <v>16</v>
      </c>
      <c r="Q65" s="80"/>
      <c r="R65" s="80"/>
      <c r="S65" s="52"/>
      <c r="T65" s="99"/>
      <c r="V65" s="50" t="s">
        <v>31</v>
      </c>
      <c r="W65" s="87">
        <f>SUM(W51:W64)</f>
        <v>16</v>
      </c>
      <c r="X65" s="80"/>
      <c r="Y65" s="80"/>
      <c r="Z65" s="52"/>
      <c r="AA65" s="258"/>
    </row>
    <row r="66" spans="1:27" ht="15.75" customHeight="1">
      <c r="A66" s="50" t="s">
        <v>32</v>
      </c>
      <c r="B66" s="82">
        <f>B65-B64-B63-B62-B61</f>
        <v>12</v>
      </c>
      <c r="C66" s="52"/>
      <c r="D66" s="52"/>
      <c r="E66" s="52"/>
      <c r="F66" s="47"/>
      <c r="H66" s="50" t="s">
        <v>32</v>
      </c>
      <c r="I66" s="82">
        <f>I65-I64-I63-I62-I61</f>
        <v>13</v>
      </c>
      <c r="J66" s="52"/>
      <c r="K66" s="52"/>
      <c r="L66" s="52"/>
      <c r="M66" s="47"/>
      <c r="O66" s="50" t="s">
        <v>32</v>
      </c>
      <c r="P66" s="82">
        <f>P65-P64-P63-P62-P61</f>
        <v>13</v>
      </c>
      <c r="Q66" s="52"/>
      <c r="R66" s="52"/>
      <c r="S66" s="52"/>
      <c r="T66" s="99"/>
      <c r="V66" s="50" t="s">
        <v>32</v>
      </c>
      <c r="W66" s="87">
        <f>W65-W64-W63-W62-W61</f>
        <v>0</v>
      </c>
      <c r="X66" s="52"/>
      <c r="Y66" s="52"/>
      <c r="Z66" s="52"/>
      <c r="AA66" s="258"/>
    </row>
    <row r="67" spans="1:27" ht="15.75" customHeight="1">
      <c r="W67" s="88"/>
    </row>
    <row r="68" spans="1:27" ht="15.75" customHeight="1">
      <c r="W68" s="88"/>
    </row>
    <row r="69" spans="1:27" ht="15.75" customHeight="1">
      <c r="W69" s="88"/>
    </row>
    <row r="70" spans="1:27" s="64" customFormat="1" ht="15.75">
      <c r="A70" s="365" t="s">
        <v>275</v>
      </c>
      <c r="B70" s="357"/>
      <c r="C70" s="357"/>
      <c r="D70" s="357"/>
      <c r="E70" s="357"/>
      <c r="F70" s="358"/>
      <c r="H70" s="365" t="s">
        <v>275</v>
      </c>
      <c r="I70" s="357"/>
      <c r="J70" s="357"/>
      <c r="K70" s="357"/>
      <c r="L70" s="357"/>
      <c r="M70" s="358"/>
      <c r="O70" s="365" t="s">
        <v>275</v>
      </c>
      <c r="P70" s="357"/>
      <c r="Q70" s="357"/>
      <c r="R70" s="357"/>
      <c r="S70" s="357"/>
      <c r="T70" s="358"/>
      <c r="V70" s="365" t="s">
        <v>275</v>
      </c>
      <c r="W70" s="357"/>
      <c r="X70" s="357"/>
      <c r="Y70" s="357"/>
      <c r="Z70" s="357"/>
      <c r="AA70" s="358"/>
    </row>
    <row r="71" spans="1:27" ht="41.25" customHeight="1">
      <c r="A71" s="359" t="s">
        <v>24</v>
      </c>
      <c r="B71" s="359" t="s">
        <v>25</v>
      </c>
      <c r="C71" s="359" t="s">
        <v>19</v>
      </c>
      <c r="D71" s="359" t="s">
        <v>49</v>
      </c>
      <c r="E71" s="359" t="s">
        <v>30</v>
      </c>
      <c r="F71" s="360" t="s">
        <v>50</v>
      </c>
      <c r="H71" s="359" t="s">
        <v>24</v>
      </c>
      <c r="I71" s="359" t="s">
        <v>25</v>
      </c>
      <c r="J71" s="359" t="s">
        <v>19</v>
      </c>
      <c r="K71" s="359" t="s">
        <v>49</v>
      </c>
      <c r="L71" s="359" t="s">
        <v>30</v>
      </c>
      <c r="M71" s="360" t="s">
        <v>50</v>
      </c>
      <c r="O71" s="359" t="s">
        <v>24</v>
      </c>
      <c r="P71" s="359" t="s">
        <v>25</v>
      </c>
      <c r="Q71" s="359" t="s">
        <v>19</v>
      </c>
      <c r="R71" s="359" t="s">
        <v>49</v>
      </c>
      <c r="S71" s="359" t="s">
        <v>30</v>
      </c>
      <c r="T71" s="361" t="s">
        <v>50</v>
      </c>
      <c r="V71" s="359" t="s">
        <v>24</v>
      </c>
      <c r="W71" s="359" t="s">
        <v>25</v>
      </c>
      <c r="X71" s="359" t="s">
        <v>19</v>
      </c>
      <c r="Y71" s="359" t="s">
        <v>49</v>
      </c>
      <c r="Z71" s="359" t="s">
        <v>30</v>
      </c>
      <c r="AA71" s="362" t="s">
        <v>50</v>
      </c>
    </row>
    <row r="72" spans="1:27" ht="6.75" customHeight="1">
      <c r="A72" s="53"/>
      <c r="B72" s="53"/>
      <c r="C72" s="53"/>
      <c r="D72" s="53"/>
      <c r="E72" s="53"/>
      <c r="F72" s="56"/>
      <c r="H72" s="53"/>
      <c r="I72" s="53"/>
      <c r="J72" s="53"/>
      <c r="K72" s="53"/>
      <c r="L72" s="53"/>
      <c r="M72" s="56"/>
      <c r="O72" s="53"/>
      <c r="P72" s="53"/>
      <c r="Q72" s="53"/>
      <c r="R72" s="53"/>
      <c r="S72" s="53"/>
      <c r="T72" s="94"/>
      <c r="V72" s="53"/>
      <c r="W72" s="53"/>
      <c r="X72" s="53"/>
      <c r="Y72" s="53"/>
      <c r="Z72" s="53"/>
      <c r="AA72" s="260"/>
    </row>
    <row r="73" spans="1:27" ht="27.75" customHeight="1">
      <c r="A73" s="295" t="s">
        <v>46</v>
      </c>
      <c r="B73" s="72">
        <f>COUNTIFS('1. ALL DATA'!$Y$5:$Y$123,"ENVIRONMENT",'1. ALL DATA'!$H$5:$H$123,"Fully Achieved")</f>
        <v>1</v>
      </c>
      <c r="C73" s="126">
        <f>B73/B87</f>
        <v>7.1428571428571425E-2</v>
      </c>
      <c r="D73" s="494">
        <f>C73+C74</f>
        <v>0.64285714285714279</v>
      </c>
      <c r="E73" s="126">
        <f>B73/B88</f>
        <v>0.1111111111111111</v>
      </c>
      <c r="F73" s="481">
        <f>E73+E74</f>
        <v>1</v>
      </c>
      <c r="H73" s="295" t="s">
        <v>46</v>
      </c>
      <c r="I73" s="72">
        <f>COUNTIFS('1. ALL DATA'!$Y$5:$Y$123,"ENVIRONMENT",'1. ALL DATA'!$M$5:$M$123,"Fully Achieved")</f>
        <v>1</v>
      </c>
      <c r="J73" s="126">
        <f>I73/I87</f>
        <v>7.1428571428571425E-2</v>
      </c>
      <c r="K73" s="494">
        <f>J73+J74</f>
        <v>0.92857142857142849</v>
      </c>
      <c r="L73" s="126">
        <f>I73/I88</f>
        <v>7.6923076923076927E-2</v>
      </c>
      <c r="M73" s="481">
        <f>L73+L74</f>
        <v>1</v>
      </c>
      <c r="O73" s="295" t="s">
        <v>46</v>
      </c>
      <c r="P73" s="72">
        <f>COUNTIFS('1. ALL DATA'!$Y$5:$Y$123,"ENVIRONMENT",'1. ALL DATA'!$R$5:$R$123,"Fully Achieved")</f>
        <v>3</v>
      </c>
      <c r="Q73" s="126">
        <f>P73/P87</f>
        <v>0.21428571428571427</v>
      </c>
      <c r="R73" s="494">
        <f>Q73+Q74</f>
        <v>0.9285714285714286</v>
      </c>
      <c r="S73" s="126">
        <f>P73/P88</f>
        <v>0.21428571428571427</v>
      </c>
      <c r="T73" s="481">
        <f>S73+S74</f>
        <v>0.9285714285714286</v>
      </c>
      <c r="V73" s="295" t="s">
        <v>41</v>
      </c>
      <c r="W73" s="151">
        <f>COUNTIFS('1. ALL DATA'!$Y$5:$Y$123,"ENVIRONMENT",'1. ALL DATA'!$V$5:$V$123,"Fully Achieved")</f>
        <v>0</v>
      </c>
      <c r="X73" s="126">
        <f>W73/$W$87</f>
        <v>0</v>
      </c>
      <c r="Y73" s="494">
        <f>X73+X74</f>
        <v>0</v>
      </c>
      <c r="Z73" s="126" t="e">
        <f>W73/$W$88</f>
        <v>#DIV/0!</v>
      </c>
      <c r="AA73" s="481" t="e">
        <f>Z73+Z74</f>
        <v>#DIV/0!</v>
      </c>
    </row>
    <row r="74" spans="1:27" ht="27.75" customHeight="1">
      <c r="A74" s="295" t="s">
        <v>42</v>
      </c>
      <c r="B74" s="72">
        <f>COUNTIFS('1. ALL DATA'!$Y$5:$Y$123,"ENVIRONMENT",'1. ALL DATA'!$H$5:$H$123,"On track to be achieved")</f>
        <v>8</v>
      </c>
      <c r="C74" s="126">
        <f>B74/B87</f>
        <v>0.5714285714285714</v>
      </c>
      <c r="D74" s="494"/>
      <c r="E74" s="126">
        <f>B74/B88</f>
        <v>0.88888888888888884</v>
      </c>
      <c r="F74" s="481"/>
      <c r="H74" s="295" t="s">
        <v>42</v>
      </c>
      <c r="I74" s="72">
        <f>COUNTIFS('1. ALL DATA'!$Y$5:$Y$123,"ENVIRONMENT",'1. ALL DATA'!$M$5:$M$123,"On track to be achieved")</f>
        <v>12</v>
      </c>
      <c r="J74" s="126">
        <f>I74/I87</f>
        <v>0.8571428571428571</v>
      </c>
      <c r="K74" s="494"/>
      <c r="L74" s="126">
        <f>I74/I88</f>
        <v>0.92307692307692313</v>
      </c>
      <c r="M74" s="481"/>
      <c r="O74" s="295" t="s">
        <v>42</v>
      </c>
      <c r="P74" s="72">
        <f>COUNTIFS('1. ALL DATA'!$Y$5:$Y$123,"ENVIRONMENT",'1. ALL DATA'!$R$5:$R$123,"On track to be achieved")</f>
        <v>10</v>
      </c>
      <c r="Q74" s="126">
        <f>P74/P87</f>
        <v>0.7142857142857143</v>
      </c>
      <c r="R74" s="494"/>
      <c r="S74" s="126">
        <f>P74/P88</f>
        <v>0.7142857142857143</v>
      </c>
      <c r="T74" s="481"/>
      <c r="V74" s="295" t="s">
        <v>83</v>
      </c>
      <c r="W74" s="151">
        <f>COUNTIFS('1. ALL DATA'!$Y$5:$Y$123,"ENVIRONMENT",'1. ALL DATA'!$V$5:$V$123,"Numerical Outturn Within 5% Tolerance")</f>
        <v>0</v>
      </c>
      <c r="X74" s="126">
        <f>W74/$W$87</f>
        <v>0</v>
      </c>
      <c r="Y74" s="494"/>
      <c r="Z74" s="126" t="e">
        <f>W74/$W$88</f>
        <v>#DIV/0!</v>
      </c>
      <c r="AA74" s="481"/>
    </row>
    <row r="75" spans="1:27" ht="7.5" customHeight="1">
      <c r="A75" s="184"/>
      <c r="B75" s="73"/>
      <c r="C75" s="74"/>
      <c r="D75" s="74"/>
      <c r="E75" s="74"/>
      <c r="F75" s="186"/>
      <c r="H75" s="184"/>
      <c r="I75" s="73"/>
      <c r="J75" s="74"/>
      <c r="K75" s="74"/>
      <c r="L75" s="74"/>
      <c r="M75" s="186"/>
      <c r="O75" s="184"/>
      <c r="P75" s="73"/>
      <c r="Q75" s="74"/>
      <c r="R75" s="74"/>
      <c r="S75" s="74"/>
      <c r="T75" s="186"/>
      <c r="V75" s="187"/>
      <c r="W75" s="53"/>
      <c r="X75" s="74"/>
      <c r="Y75" s="74"/>
      <c r="Z75" s="74"/>
      <c r="AA75" s="186"/>
    </row>
    <row r="76" spans="1:27" ht="21" customHeight="1">
      <c r="A76" s="476" t="s">
        <v>27</v>
      </c>
      <c r="B76" s="496">
        <f>COUNTIFS('1. ALL DATA'!$Y$5:$Y$123,"ENVIRONMENT",'1. ALL DATA'!$H$5:$H$123,"In danger of falling behind target")</f>
        <v>0</v>
      </c>
      <c r="C76" s="494">
        <f>B76/B87</f>
        <v>0</v>
      </c>
      <c r="D76" s="494">
        <f>C76</f>
        <v>0</v>
      </c>
      <c r="E76" s="494">
        <f>B76/B88</f>
        <v>0</v>
      </c>
      <c r="F76" s="479">
        <f>E76</f>
        <v>0</v>
      </c>
      <c r="H76" s="476" t="s">
        <v>27</v>
      </c>
      <c r="I76" s="496">
        <f>COUNTIFS('1. ALL DATA'!$Y$5:$Y$123,"ENVIRONMENT",'1. ALL DATA'!$M$5:$M$123,"In danger of falling behind target")</f>
        <v>0</v>
      </c>
      <c r="J76" s="494">
        <f>I76/I87</f>
        <v>0</v>
      </c>
      <c r="K76" s="494">
        <f>J76</f>
        <v>0</v>
      </c>
      <c r="L76" s="494">
        <f>I76/I88</f>
        <v>0</v>
      </c>
      <c r="M76" s="479">
        <f>L76</f>
        <v>0</v>
      </c>
      <c r="O76" s="476" t="s">
        <v>27</v>
      </c>
      <c r="P76" s="496">
        <f>COUNTIFS('1. ALL DATA'!$Y$5:$Y$123,"ENVIRONMENT",'1. ALL DATA'!$R$5:$R$123,"In danger of falling behind target")</f>
        <v>1</v>
      </c>
      <c r="Q76" s="494">
        <f>P76/P87</f>
        <v>7.1428571428571425E-2</v>
      </c>
      <c r="R76" s="494">
        <f>Q76</f>
        <v>7.1428571428571425E-2</v>
      </c>
      <c r="S76" s="494">
        <f>P76/P88</f>
        <v>7.1428571428571425E-2</v>
      </c>
      <c r="T76" s="479">
        <f>S76</f>
        <v>7.1428571428571425E-2</v>
      </c>
      <c r="V76" s="297" t="s">
        <v>84</v>
      </c>
      <c r="W76" s="276">
        <f>COUNTIFS('1. ALL DATA'!$Y$5:$Y$123,"ENVIRONMENT",'1. ALL DATA'!$V$5:$V$123,"Numerical Outturn Within 10% Tolerance")</f>
        <v>0</v>
      </c>
      <c r="X76" s="126">
        <f>W76/$W$87</f>
        <v>0</v>
      </c>
      <c r="Y76" s="497">
        <f>SUM(X76:X79)</f>
        <v>0</v>
      </c>
      <c r="Z76" s="75" t="e">
        <f>W76/$W$88</f>
        <v>#DIV/0!</v>
      </c>
      <c r="AA76" s="479" t="e">
        <f>SUM(Z76:Z79)</f>
        <v>#DIV/0!</v>
      </c>
    </row>
    <row r="77" spans="1:27" ht="18.75" customHeight="1">
      <c r="A77" s="476"/>
      <c r="B77" s="496"/>
      <c r="C77" s="494"/>
      <c r="D77" s="494"/>
      <c r="E77" s="494"/>
      <c r="F77" s="479"/>
      <c r="H77" s="476"/>
      <c r="I77" s="496"/>
      <c r="J77" s="494"/>
      <c r="K77" s="494"/>
      <c r="L77" s="494"/>
      <c r="M77" s="479"/>
      <c r="O77" s="476"/>
      <c r="P77" s="496"/>
      <c r="Q77" s="494"/>
      <c r="R77" s="494"/>
      <c r="S77" s="494"/>
      <c r="T77" s="479"/>
      <c r="V77" s="297" t="s">
        <v>85</v>
      </c>
      <c r="W77" s="276">
        <f>COUNTIFS('1. ALL DATA'!$Y$5:$Y$123,"ENVIRONMENT",'1. ALL DATA'!$V$5:$V$123,"Target Partially Met")</f>
        <v>0</v>
      </c>
      <c r="X77" s="126">
        <f>W77/$W$87</f>
        <v>0</v>
      </c>
      <c r="Y77" s="498"/>
      <c r="Z77" s="75" t="e">
        <f>W77/$W$88</f>
        <v>#DIV/0!</v>
      </c>
      <c r="AA77" s="479"/>
    </row>
    <row r="78" spans="1:27" ht="20.25" customHeight="1">
      <c r="A78" s="476"/>
      <c r="B78" s="496"/>
      <c r="C78" s="494"/>
      <c r="D78" s="494"/>
      <c r="E78" s="494"/>
      <c r="F78" s="479"/>
      <c r="H78" s="476"/>
      <c r="I78" s="496"/>
      <c r="J78" s="494"/>
      <c r="K78" s="494"/>
      <c r="L78" s="494"/>
      <c r="M78" s="479"/>
      <c r="O78" s="476"/>
      <c r="P78" s="496"/>
      <c r="Q78" s="494"/>
      <c r="R78" s="494"/>
      <c r="S78" s="494"/>
      <c r="T78" s="479"/>
      <c r="V78" s="297" t="s">
        <v>87</v>
      </c>
      <c r="W78" s="276">
        <f>COUNTIFS('1. ALL DATA'!$Y$5:$Y$123,"ENVIRONMENT",'1. ALL DATA'!$V$5:$V$123,"Completion Date Within Reasonable Tolerance")</f>
        <v>0</v>
      </c>
      <c r="X78" s="126">
        <f>W78/$W$87</f>
        <v>0</v>
      </c>
      <c r="Y78" s="499"/>
      <c r="Z78" s="75" t="e">
        <f>W78/$W$88</f>
        <v>#DIV/0!</v>
      </c>
      <c r="AA78" s="479"/>
    </row>
    <row r="79" spans="1:27" ht="6" customHeight="1">
      <c r="A79" s="184"/>
      <c r="B79" s="53"/>
      <c r="C79" s="74"/>
      <c r="D79" s="74"/>
      <c r="E79" s="74"/>
      <c r="F79" s="186"/>
      <c r="H79" s="184"/>
      <c r="I79" s="53"/>
      <c r="J79" s="74"/>
      <c r="K79" s="74"/>
      <c r="L79" s="74"/>
      <c r="M79" s="186"/>
      <c r="O79" s="184"/>
      <c r="P79" s="53"/>
      <c r="Q79" s="74"/>
      <c r="R79" s="74"/>
      <c r="S79" s="74"/>
      <c r="T79" s="186"/>
      <c r="V79" s="187"/>
      <c r="W79" s="53"/>
      <c r="X79" s="74"/>
      <c r="Y79" s="74"/>
      <c r="Z79" s="74"/>
      <c r="AA79" s="186"/>
    </row>
    <row r="80" spans="1:27" ht="30" customHeight="1">
      <c r="A80" s="296" t="s">
        <v>43</v>
      </c>
      <c r="B80" s="72">
        <f>COUNTIFS('1. ALL DATA'!$Y$5:$Y$123,"ENVIRONMENT",'1. ALL DATA'!$H$5:$H$123,"Completed behind schedule")</f>
        <v>0</v>
      </c>
      <c r="C80" s="126">
        <f>B80/B87</f>
        <v>0</v>
      </c>
      <c r="D80" s="494">
        <f>C80+C81</f>
        <v>0</v>
      </c>
      <c r="E80" s="126">
        <f>B80/B88</f>
        <v>0</v>
      </c>
      <c r="F80" s="495">
        <f>E80+E81</f>
        <v>0</v>
      </c>
      <c r="H80" s="296" t="s">
        <v>43</v>
      </c>
      <c r="I80" s="72">
        <f>COUNTIFS('1. ALL DATA'!$Y$5:$Y$123,"ENVIRONMENT",'1. ALL DATA'!$M$5:$M$123,"Completed behind schedule")</f>
        <v>0</v>
      </c>
      <c r="J80" s="126">
        <f>I80/I87</f>
        <v>0</v>
      </c>
      <c r="K80" s="494">
        <f>J80+J81</f>
        <v>0</v>
      </c>
      <c r="L80" s="126">
        <f>I80/I88</f>
        <v>0</v>
      </c>
      <c r="M80" s="495">
        <f>L80+L81</f>
        <v>0</v>
      </c>
      <c r="O80" s="296" t="s">
        <v>43</v>
      </c>
      <c r="P80" s="72">
        <f>COUNTIFS('1. ALL DATA'!$Y$5:$Y$123,"ENVIRONMENT",'1. ALL DATA'!$R$5:$R$123,"Completed behind schedule")</f>
        <v>0</v>
      </c>
      <c r="Q80" s="126">
        <f>P80/P87</f>
        <v>0</v>
      </c>
      <c r="R80" s="494">
        <f>Q80+Q81</f>
        <v>0</v>
      </c>
      <c r="S80" s="126">
        <f>P80/P88</f>
        <v>0</v>
      </c>
      <c r="T80" s="495">
        <f>S80+S81</f>
        <v>0</v>
      </c>
      <c r="V80" s="296" t="s">
        <v>86</v>
      </c>
      <c r="W80" s="276">
        <f>COUNTIFS('1. ALL DATA'!$Y$5:$Y$123,"ENVIRONMENT",'1. ALL DATA'!$V$5:$V$123,"Completed Significantly After Target Deadline")</f>
        <v>0</v>
      </c>
      <c r="X80" s="126">
        <f>W80/$W$87</f>
        <v>0</v>
      </c>
      <c r="Y80" s="494">
        <f>X80+X81</f>
        <v>0</v>
      </c>
      <c r="Z80" s="126" t="e">
        <f>W80/$W$88</f>
        <v>#DIV/0!</v>
      </c>
      <c r="AA80" s="495" t="e">
        <f>Z80+Z81</f>
        <v>#DIV/0!</v>
      </c>
    </row>
    <row r="81" spans="1:27" ht="30" customHeight="1">
      <c r="A81" s="296" t="s">
        <v>28</v>
      </c>
      <c r="B81" s="72">
        <f>COUNTIFS('1. ALL DATA'!$Y$5:$Y$123,"ENVIRONMENT",'1. ALL DATA'!$H$5:$H$123,"Off target")</f>
        <v>0</v>
      </c>
      <c r="C81" s="126">
        <f>B81/B87</f>
        <v>0</v>
      </c>
      <c r="D81" s="494"/>
      <c r="E81" s="126">
        <f>B81/B88</f>
        <v>0</v>
      </c>
      <c r="F81" s="495"/>
      <c r="H81" s="296" t="s">
        <v>28</v>
      </c>
      <c r="I81" s="72">
        <f>COUNTIFS('1. ALL DATA'!$Y$5:$Y$123,"ENVIRONMENT",'1. ALL DATA'!$M$5:$M$123,"Off target")</f>
        <v>0</v>
      </c>
      <c r="J81" s="126">
        <f>I81/I87</f>
        <v>0</v>
      </c>
      <c r="K81" s="494"/>
      <c r="L81" s="126">
        <f>I81/I88</f>
        <v>0</v>
      </c>
      <c r="M81" s="495"/>
      <c r="O81" s="296" t="s">
        <v>28</v>
      </c>
      <c r="P81" s="72">
        <f>COUNTIFS('1. ALL DATA'!$Y$5:$Y$123,"ENVIRONMENT",'1. ALL DATA'!$R$5:$R$123,"Off target")</f>
        <v>0</v>
      </c>
      <c r="Q81" s="126">
        <f>P81/P87</f>
        <v>0</v>
      </c>
      <c r="R81" s="494"/>
      <c r="S81" s="126">
        <f>P81/P88</f>
        <v>0</v>
      </c>
      <c r="T81" s="495"/>
      <c r="V81" s="296" t="s">
        <v>28</v>
      </c>
      <c r="W81" s="276">
        <f>COUNTIFS('1. ALL DATA'!$Y$5:$Y$123,"ENVIRONMENT",'1. ALL DATA'!$V$5:$V$123,"Off Target")</f>
        <v>0</v>
      </c>
      <c r="X81" s="126">
        <f>W81/$W$87</f>
        <v>0</v>
      </c>
      <c r="Y81" s="494"/>
      <c r="Z81" s="126" t="e">
        <f>W81/$W$88</f>
        <v>#DIV/0!</v>
      </c>
      <c r="AA81" s="495"/>
    </row>
    <row r="82" spans="1:27" ht="5.25" customHeight="1">
      <c r="A82" s="53"/>
      <c r="B82" s="73"/>
      <c r="C82" s="74"/>
      <c r="D82" s="74"/>
      <c r="E82" s="74"/>
      <c r="F82" s="98"/>
      <c r="H82" s="53"/>
      <c r="I82" s="73"/>
      <c r="J82" s="74"/>
      <c r="K82" s="74"/>
      <c r="L82" s="74"/>
      <c r="M82" s="98"/>
      <c r="O82" s="53"/>
      <c r="P82" s="73"/>
      <c r="Q82" s="74"/>
      <c r="R82" s="74"/>
      <c r="S82" s="74"/>
      <c r="T82" s="98"/>
      <c r="V82" s="298"/>
      <c r="W82" s="57"/>
      <c r="X82" s="76"/>
      <c r="Y82" s="76"/>
      <c r="Z82" s="77"/>
      <c r="AA82" s="261"/>
    </row>
    <row r="83" spans="1:27" ht="15.75" customHeight="1">
      <c r="A83" s="48" t="s">
        <v>2</v>
      </c>
      <c r="B83" s="63">
        <f>COUNTIFS('1. ALL DATA'!$Y$5:$Y$123,"ENVIRONMENT",'1. ALL DATA'!$H$5:$H$123,"Not yet due")</f>
        <v>5</v>
      </c>
      <c r="C83" s="78">
        <f>B83/B87</f>
        <v>0.35714285714285715</v>
      </c>
      <c r="D83" s="78">
        <f>C83</f>
        <v>0.35714285714285715</v>
      </c>
      <c r="E83" s="79"/>
      <c r="F83" s="47"/>
      <c r="H83" s="48" t="s">
        <v>2</v>
      </c>
      <c r="I83" s="63">
        <f>COUNTIFS('1. ALL DATA'!$Y$5:$Y$123,"ENVIRONMENT",'1. ALL DATA'!$M$5:$M$123,"Not yet due")</f>
        <v>1</v>
      </c>
      <c r="J83" s="78">
        <f>I83/I87</f>
        <v>7.1428571428571425E-2</v>
      </c>
      <c r="K83" s="78">
        <f>J83</f>
        <v>7.1428571428571425E-2</v>
      </c>
      <c r="L83" s="79"/>
      <c r="M83" s="47"/>
      <c r="O83" s="48" t="s">
        <v>2</v>
      </c>
      <c r="P83" s="63">
        <f>COUNTIFS('1. ALL DATA'!$Y$5:$Y$123,"ENVIRONMENT",'1. ALL DATA'!$R$5:$R$123,"Not yet due")</f>
        <v>0</v>
      </c>
      <c r="Q83" s="78">
        <f>P83/P87</f>
        <v>0</v>
      </c>
      <c r="R83" s="78">
        <f>Q83</f>
        <v>0</v>
      </c>
      <c r="S83" s="79"/>
      <c r="T83" s="99"/>
      <c r="V83" s="63" t="s">
        <v>2</v>
      </c>
      <c r="W83" s="48">
        <f>COUNTIFS('1. ALL DATA'!$Y$5:$Y$123,"ENVIRONMENT",'1. ALL DATA'!$V$5:$V$123,"not yet due")</f>
        <v>0</v>
      </c>
      <c r="X83" s="78">
        <f>W83/$W$87</f>
        <v>0</v>
      </c>
      <c r="Y83" s="78">
        <f>X83</f>
        <v>0</v>
      </c>
      <c r="Z83" s="79"/>
      <c r="AA83" s="258"/>
    </row>
    <row r="84" spans="1:27" ht="15.75" customHeight="1">
      <c r="A84" s="48" t="s">
        <v>47</v>
      </c>
      <c r="B84" s="63">
        <f>COUNTIFS('1. ALL DATA'!$Y$5:$Y$123,"ENVIRONMENT",'1. ALL DATA'!$H$5:$H$123,"Update not provided")</f>
        <v>0</v>
      </c>
      <c r="C84" s="78">
        <f>B84/B87</f>
        <v>0</v>
      </c>
      <c r="D84" s="78">
        <f>C84</f>
        <v>0</v>
      </c>
      <c r="E84" s="79"/>
      <c r="F84" s="104"/>
      <c r="H84" s="48" t="s">
        <v>47</v>
      </c>
      <c r="I84" s="63">
        <f>COUNTIFS('1. ALL DATA'!$Y$5:$Y$123,"ENVIRONMENT",'1. ALL DATA'!$M$5:$M$123,"Update not provided")</f>
        <v>0</v>
      </c>
      <c r="J84" s="78">
        <f>I84/I87</f>
        <v>0</v>
      </c>
      <c r="K84" s="78">
        <f>J84</f>
        <v>0</v>
      </c>
      <c r="L84" s="79"/>
      <c r="M84" s="104"/>
      <c r="O84" s="48" t="s">
        <v>47</v>
      </c>
      <c r="P84" s="63">
        <f>COUNTIFS('1. ALL DATA'!$Y$5:$Y$123,"ENVIRONMENT",'1. ALL DATA'!$R$5:$R$123,"Update not provided")</f>
        <v>0</v>
      </c>
      <c r="Q84" s="78">
        <f>P84/P87</f>
        <v>0</v>
      </c>
      <c r="R84" s="78">
        <f>Q84</f>
        <v>0</v>
      </c>
      <c r="S84" s="79"/>
      <c r="T84" s="100"/>
      <c r="V84" s="65" t="s">
        <v>47</v>
      </c>
      <c r="W84" s="48">
        <f>COUNTIFS('1. ALL DATA'!$Y$5:$Y$123,"ENVIRONMENT",'1. ALL DATA'!$V$5:$V$123,"Update not provided")</f>
        <v>14</v>
      </c>
      <c r="X84" s="78">
        <f>W84/$W$87</f>
        <v>1</v>
      </c>
      <c r="Y84" s="78">
        <f>X84</f>
        <v>1</v>
      </c>
      <c r="Z84" s="79"/>
    </row>
    <row r="85" spans="1:27" ht="15.75" customHeight="1">
      <c r="A85" s="49" t="s">
        <v>23</v>
      </c>
      <c r="B85" s="63">
        <f>COUNTIFS('1. ALL DATA'!$Y$5:$Y$123,"ENVIRONMENT",'1. ALL DATA'!$H$5:$H$123,"Deferred")</f>
        <v>0</v>
      </c>
      <c r="C85" s="81">
        <f>B85/B87</f>
        <v>0</v>
      </c>
      <c r="D85" s="81">
        <f>C85</f>
        <v>0</v>
      </c>
      <c r="E85" s="80"/>
      <c r="F85" s="47"/>
      <c r="H85" s="49" t="s">
        <v>23</v>
      </c>
      <c r="I85" s="63">
        <f>COUNTIFS('1. ALL DATA'!$Y$5:$Y$123,"ENVIRONMENT",'1. ALL DATA'!$M$5:$M$123,"Deferred")</f>
        <v>0</v>
      </c>
      <c r="J85" s="81">
        <f>I85/I87</f>
        <v>0</v>
      </c>
      <c r="K85" s="81">
        <f>J85</f>
        <v>0</v>
      </c>
      <c r="L85" s="80"/>
      <c r="M85" s="47"/>
      <c r="O85" s="49" t="s">
        <v>23</v>
      </c>
      <c r="P85" s="63">
        <f>COUNTIFS('1. ALL DATA'!$Y$5:$Y$123,"ENVIRONMENT",'1. ALL DATA'!$R$5:$R$123,"Deferred")</f>
        <v>0</v>
      </c>
      <c r="Q85" s="81">
        <f>P85/P87</f>
        <v>0</v>
      </c>
      <c r="R85" s="81">
        <f>Q85</f>
        <v>0</v>
      </c>
      <c r="S85" s="80"/>
      <c r="T85" s="99"/>
      <c r="V85" s="49" t="s">
        <v>23</v>
      </c>
      <c r="W85" s="48">
        <f>COUNTIFS('1. ALL DATA'!$Y$5:$Y$123,"ENVIRONMENT",'1. ALL DATA'!$V$5:$V$123,"Deferred")</f>
        <v>0</v>
      </c>
      <c r="X85" s="81">
        <f>W85/$W$87</f>
        <v>0</v>
      </c>
      <c r="Y85" s="81">
        <f>X85</f>
        <v>0</v>
      </c>
      <c r="Z85" s="80"/>
      <c r="AA85" s="258"/>
    </row>
    <row r="86" spans="1:27" ht="15.75" customHeight="1">
      <c r="A86" s="49" t="s">
        <v>29</v>
      </c>
      <c r="B86" s="63">
        <f>COUNTIFS('1. ALL DATA'!$Y$5:$Y$123,"ENVIRONMENT",'1. ALL DATA'!$H$5:$H$123,"Deleted")</f>
        <v>0</v>
      </c>
      <c r="C86" s="81">
        <f>B86/B87</f>
        <v>0</v>
      </c>
      <c r="D86" s="81">
        <f>C86</f>
        <v>0</v>
      </c>
      <c r="E86" s="80"/>
      <c r="F86" s="97" t="s">
        <v>63</v>
      </c>
      <c r="H86" s="49" t="s">
        <v>29</v>
      </c>
      <c r="I86" s="63">
        <f>COUNTIFS('1. ALL DATA'!$Y$5:$Y$123,"ENVIRONMENT",'1. ALL DATA'!$M$5:$M$123,"Deleted")</f>
        <v>0</v>
      </c>
      <c r="J86" s="81">
        <f>I86/I87</f>
        <v>0</v>
      </c>
      <c r="K86" s="81">
        <f>J86</f>
        <v>0</v>
      </c>
      <c r="L86" s="80"/>
      <c r="M86" s="97" t="s">
        <v>63</v>
      </c>
      <c r="O86" s="49" t="s">
        <v>29</v>
      </c>
      <c r="P86" s="63">
        <f>COUNTIFS('1. ALL DATA'!$Y$5:$Y$123,"ENVIRONMENT",'1. ALL DATA'!$R$5:$R$123,"Deleted")</f>
        <v>0</v>
      </c>
      <c r="Q86" s="81">
        <f>P86/P87</f>
        <v>0</v>
      </c>
      <c r="R86" s="81">
        <f>Q86</f>
        <v>0</v>
      </c>
      <c r="S86" s="80"/>
      <c r="T86" s="97" t="s">
        <v>63</v>
      </c>
      <c r="V86" s="49" t="s">
        <v>29</v>
      </c>
      <c r="W86" s="48">
        <f>COUNTIFS('1. ALL DATA'!$Y$5:$Y$123,"ENVIRONMENT",'1. ALL DATA'!$V$5:$V$123,"Deleted")</f>
        <v>0</v>
      </c>
      <c r="X86" s="81">
        <f>W86/$W$87</f>
        <v>0</v>
      </c>
      <c r="Y86" s="81">
        <f>X86</f>
        <v>0</v>
      </c>
      <c r="Z86" s="80"/>
      <c r="AA86" s="97" t="s">
        <v>63</v>
      </c>
    </row>
    <row r="87" spans="1:27" ht="15.75" customHeight="1">
      <c r="A87" s="50" t="s">
        <v>31</v>
      </c>
      <c r="B87" s="82">
        <f>SUM(B73:B86)</f>
        <v>14</v>
      </c>
      <c r="C87" s="80"/>
      <c r="D87" s="80"/>
      <c r="E87" s="52"/>
      <c r="F87" s="47"/>
      <c r="H87" s="50" t="s">
        <v>31</v>
      </c>
      <c r="I87" s="82">
        <f>SUM(I73:I86)</f>
        <v>14</v>
      </c>
      <c r="J87" s="80"/>
      <c r="K87" s="80"/>
      <c r="L87" s="52"/>
      <c r="M87" s="47"/>
      <c r="O87" s="50" t="s">
        <v>31</v>
      </c>
      <c r="P87" s="82">
        <f>SUM(P73:P86)</f>
        <v>14</v>
      </c>
      <c r="Q87" s="80"/>
      <c r="R87" s="80"/>
      <c r="S87" s="52"/>
      <c r="T87" s="99"/>
      <c r="V87" s="50" t="s">
        <v>31</v>
      </c>
      <c r="W87" s="87">
        <f>SUM(W73:W86)</f>
        <v>14</v>
      </c>
      <c r="X87" s="80"/>
      <c r="Y87" s="80"/>
      <c r="Z87" s="52"/>
      <c r="AA87" s="258"/>
    </row>
    <row r="88" spans="1:27" ht="15.75" customHeight="1">
      <c r="A88" s="50" t="s">
        <v>32</v>
      </c>
      <c r="B88" s="82">
        <f>B87-B86-B85-B84-B83</f>
        <v>9</v>
      </c>
      <c r="C88" s="52"/>
      <c r="D88" s="52"/>
      <c r="E88" s="52"/>
      <c r="F88" s="47"/>
      <c r="H88" s="50" t="s">
        <v>32</v>
      </c>
      <c r="I88" s="82">
        <f>I87-I86-I85-I84-I83</f>
        <v>13</v>
      </c>
      <c r="J88" s="52"/>
      <c r="K88" s="52"/>
      <c r="L88" s="52"/>
      <c r="M88" s="47"/>
      <c r="O88" s="50" t="s">
        <v>32</v>
      </c>
      <c r="P88" s="82">
        <f>P87-P86-P85-P84-P83</f>
        <v>14</v>
      </c>
      <c r="Q88" s="52"/>
      <c r="R88" s="52"/>
      <c r="S88" s="52"/>
      <c r="T88" s="99"/>
      <c r="V88" s="50" t="s">
        <v>32</v>
      </c>
      <c r="W88" s="87">
        <f>W87-W86-W85-W84-W83</f>
        <v>0</v>
      </c>
      <c r="X88" s="52"/>
      <c r="Y88" s="52"/>
      <c r="Z88" s="52"/>
      <c r="AA88" s="258"/>
    </row>
    <row r="89" spans="1:27" ht="15.75" customHeight="1">
      <c r="V89" s="66"/>
      <c r="W89" s="64"/>
      <c r="X89" s="64"/>
      <c r="Y89" s="64"/>
      <c r="Z89" s="52"/>
      <c r="AA89" s="258"/>
    </row>
    <row r="90" spans="1:27" ht="15.75" customHeight="1"/>
    <row r="91" spans="1:27" s="64" customFormat="1" ht="15.75" customHeight="1">
      <c r="A91" s="66"/>
      <c r="E91" s="52"/>
      <c r="F91" s="1"/>
      <c r="H91" s="66"/>
      <c r="L91" s="52"/>
      <c r="M91" s="1"/>
      <c r="O91" s="66"/>
      <c r="S91" s="52"/>
      <c r="T91" s="96"/>
      <c r="AA91" s="258"/>
    </row>
    <row r="92" spans="1:27" s="64" customFormat="1" ht="15.75">
      <c r="A92" s="365" t="s">
        <v>276</v>
      </c>
      <c r="B92" s="357"/>
      <c r="C92" s="357"/>
      <c r="D92" s="357"/>
      <c r="E92" s="357"/>
      <c r="F92" s="358"/>
      <c r="H92" s="365" t="s">
        <v>276</v>
      </c>
      <c r="I92" s="357"/>
      <c r="J92" s="357"/>
      <c r="K92" s="357"/>
      <c r="L92" s="357"/>
      <c r="M92" s="358"/>
      <c r="O92" s="365" t="s">
        <v>276</v>
      </c>
      <c r="P92" s="357"/>
      <c r="Q92" s="357"/>
      <c r="R92" s="357"/>
      <c r="S92" s="357"/>
      <c r="T92" s="358"/>
      <c r="V92" s="365" t="s">
        <v>276</v>
      </c>
      <c r="W92" s="357"/>
      <c r="X92" s="357"/>
      <c r="Y92" s="357"/>
      <c r="Z92" s="357"/>
      <c r="AA92" s="358"/>
    </row>
    <row r="93" spans="1:27" ht="36" customHeight="1">
      <c r="A93" s="359" t="s">
        <v>24</v>
      </c>
      <c r="B93" s="359" t="s">
        <v>25</v>
      </c>
      <c r="C93" s="359" t="s">
        <v>19</v>
      </c>
      <c r="D93" s="359" t="s">
        <v>49</v>
      </c>
      <c r="E93" s="359" t="s">
        <v>30</v>
      </c>
      <c r="F93" s="360" t="s">
        <v>50</v>
      </c>
      <c r="H93" s="359" t="s">
        <v>24</v>
      </c>
      <c r="I93" s="359" t="s">
        <v>25</v>
      </c>
      <c r="J93" s="359" t="s">
        <v>19</v>
      </c>
      <c r="K93" s="359" t="s">
        <v>49</v>
      </c>
      <c r="L93" s="359" t="s">
        <v>30</v>
      </c>
      <c r="M93" s="360" t="s">
        <v>50</v>
      </c>
      <c r="O93" s="359" t="s">
        <v>24</v>
      </c>
      <c r="P93" s="359" t="s">
        <v>25</v>
      </c>
      <c r="Q93" s="359" t="s">
        <v>19</v>
      </c>
      <c r="R93" s="359" t="s">
        <v>49</v>
      </c>
      <c r="S93" s="359" t="s">
        <v>30</v>
      </c>
      <c r="T93" s="361" t="s">
        <v>50</v>
      </c>
      <c r="V93" s="359" t="s">
        <v>24</v>
      </c>
      <c r="W93" s="359" t="s">
        <v>25</v>
      </c>
      <c r="X93" s="359" t="s">
        <v>19</v>
      </c>
      <c r="Y93" s="359" t="s">
        <v>49</v>
      </c>
      <c r="Z93" s="359" t="s">
        <v>30</v>
      </c>
      <c r="AA93" s="362" t="s">
        <v>50</v>
      </c>
    </row>
    <row r="94" spans="1:27" s="64" customFormat="1" ht="7.5" customHeight="1">
      <c r="A94" s="184"/>
      <c r="B94" s="184"/>
      <c r="C94" s="184"/>
      <c r="D94" s="184"/>
      <c r="E94" s="184"/>
      <c r="F94" s="196"/>
      <c r="H94" s="184"/>
      <c r="I94" s="184"/>
      <c r="J94" s="184"/>
      <c r="K94" s="184"/>
      <c r="L94" s="184"/>
      <c r="M94" s="196"/>
      <c r="O94" s="184"/>
      <c r="P94" s="184"/>
      <c r="Q94" s="184"/>
      <c r="R94" s="184"/>
      <c r="S94" s="184"/>
      <c r="T94" s="197"/>
      <c r="V94" s="184"/>
      <c r="W94" s="184"/>
      <c r="X94" s="184"/>
      <c r="Y94" s="184"/>
      <c r="Z94" s="184"/>
      <c r="AA94" s="255"/>
    </row>
    <row r="95" spans="1:27" ht="18.75" customHeight="1">
      <c r="A95" s="295" t="s">
        <v>46</v>
      </c>
      <c r="B95" s="72">
        <f>COUNTIFS('1. ALL DATA'!$Y$5:$Y$123,"PLANNING",'1. ALL DATA'!$H$5:$H$123,"Fully Achieved")</f>
        <v>0</v>
      </c>
      <c r="C95" s="126">
        <f>B95/B109</f>
        <v>0</v>
      </c>
      <c r="D95" s="494">
        <f>C95+C96</f>
        <v>0.7857142857142857</v>
      </c>
      <c r="E95" s="126">
        <f>B95/B110</f>
        <v>0</v>
      </c>
      <c r="F95" s="481">
        <f>E95+E96</f>
        <v>1</v>
      </c>
      <c r="H95" s="295" t="s">
        <v>46</v>
      </c>
      <c r="I95" s="72">
        <f>COUNTIFS('1. ALL DATA'!$Y$5:$Y$123,"PLANNING",'1. ALL DATA'!$M$5:$M$123,"Fully Achieved")</f>
        <v>2</v>
      </c>
      <c r="J95" s="126">
        <f>I95/I109</f>
        <v>0.14285714285714285</v>
      </c>
      <c r="K95" s="494">
        <f>J95+J96</f>
        <v>0.9285714285714286</v>
      </c>
      <c r="L95" s="126">
        <f>I95/I110</f>
        <v>0.15384615384615385</v>
      </c>
      <c r="M95" s="481">
        <f>L95+L96</f>
        <v>1</v>
      </c>
      <c r="O95" s="295" t="s">
        <v>46</v>
      </c>
      <c r="P95" s="72">
        <f>COUNTIFS('1. ALL DATA'!$Y$5:$Y$123,"PLANNING",'1. ALL DATA'!$R$5:$R$123,"Fully Achieved")</f>
        <v>4</v>
      </c>
      <c r="Q95" s="126">
        <f>P95/P109</f>
        <v>0.2857142857142857</v>
      </c>
      <c r="R95" s="494">
        <f>Q95+Q96</f>
        <v>0.9285714285714286</v>
      </c>
      <c r="S95" s="126">
        <f>P95/P110</f>
        <v>0.2857142857142857</v>
      </c>
      <c r="T95" s="481">
        <f>S95+S96</f>
        <v>0.9285714285714286</v>
      </c>
      <c r="V95" s="295" t="s">
        <v>41</v>
      </c>
      <c r="W95" s="151">
        <f>COUNTIFS('1. ALL DATA'!$Y$5:$Y$123,"PLANNING",'1. ALL DATA'!$V$5:$V$123,"Fully Achieved")</f>
        <v>0</v>
      </c>
      <c r="X95" s="126">
        <f>W95/$W$109</f>
        <v>0</v>
      </c>
      <c r="Y95" s="494">
        <f>X95+X96</f>
        <v>0</v>
      </c>
      <c r="Z95" s="126" t="e">
        <f>W95/$W$110</f>
        <v>#DIV/0!</v>
      </c>
      <c r="AA95" s="481" t="e">
        <f>Z95+Z96</f>
        <v>#DIV/0!</v>
      </c>
    </row>
    <row r="96" spans="1:27" ht="18.75" customHeight="1">
      <c r="A96" s="295" t="s">
        <v>42</v>
      </c>
      <c r="B96" s="72">
        <f>COUNTIFS('1. ALL DATA'!$Y$5:$Y$123,"PLANNING",'1. ALL DATA'!$H$5:$H$123,"On track to be achieved")</f>
        <v>11</v>
      </c>
      <c r="C96" s="126">
        <f>B96/B109</f>
        <v>0.7857142857142857</v>
      </c>
      <c r="D96" s="494"/>
      <c r="E96" s="126">
        <f>B96/B110</f>
        <v>1</v>
      </c>
      <c r="F96" s="481"/>
      <c r="H96" s="295" t="s">
        <v>42</v>
      </c>
      <c r="I96" s="72">
        <f>COUNTIFS('1. ALL DATA'!$Y$5:$Y$123,"PLANNING",'1. ALL DATA'!$M$5:$M$123,"On track to be achieved")</f>
        <v>11</v>
      </c>
      <c r="J96" s="126">
        <f>I96/I109</f>
        <v>0.7857142857142857</v>
      </c>
      <c r="K96" s="494"/>
      <c r="L96" s="126">
        <f>I96/I110</f>
        <v>0.84615384615384615</v>
      </c>
      <c r="M96" s="481"/>
      <c r="O96" s="295" t="s">
        <v>42</v>
      </c>
      <c r="P96" s="72">
        <f>COUNTIFS('1. ALL DATA'!$Y$5:$Y$123,"PLANNING",'1. ALL DATA'!$R$5:$R$123,"On track to be achieved")</f>
        <v>9</v>
      </c>
      <c r="Q96" s="126">
        <f>P96/P109</f>
        <v>0.6428571428571429</v>
      </c>
      <c r="R96" s="494"/>
      <c r="S96" s="126">
        <f>P96/P110</f>
        <v>0.6428571428571429</v>
      </c>
      <c r="T96" s="481"/>
      <c r="V96" s="295" t="s">
        <v>83</v>
      </c>
      <c r="W96" s="151">
        <f>COUNTIFS('1. ALL DATA'!$Y$5:$Y$123,"PLANNING",'1. ALL DATA'!$V$5:$V$123,"Numerical Outturn Within 5% Tolerance")</f>
        <v>0</v>
      </c>
      <c r="X96" s="150">
        <f t="shared" ref="X96:X108" si="2">W96/$W$109</f>
        <v>0</v>
      </c>
      <c r="Y96" s="494"/>
      <c r="Z96" s="150" t="e">
        <f t="shared" ref="Z96:Z103" si="3">W96/$W$110</f>
        <v>#DIV/0!</v>
      </c>
      <c r="AA96" s="481"/>
    </row>
    <row r="97" spans="1:27" s="64" customFormat="1" ht="6.75" customHeight="1">
      <c r="A97" s="184"/>
      <c r="B97" s="189"/>
      <c r="C97" s="185"/>
      <c r="D97" s="185"/>
      <c r="E97" s="185"/>
      <c r="F97" s="186"/>
      <c r="H97" s="184"/>
      <c r="I97" s="189"/>
      <c r="J97" s="185"/>
      <c r="K97" s="185"/>
      <c r="L97" s="185"/>
      <c r="M97" s="186"/>
      <c r="O97" s="184"/>
      <c r="P97" s="189"/>
      <c r="Q97" s="185"/>
      <c r="R97" s="185"/>
      <c r="S97" s="185"/>
      <c r="T97" s="186"/>
      <c r="V97" s="187"/>
      <c r="W97" s="184"/>
      <c r="X97" s="364"/>
      <c r="Y97" s="185"/>
      <c r="Z97" s="364"/>
      <c r="AA97" s="186"/>
    </row>
    <row r="98" spans="1:27" ht="16.5" customHeight="1">
      <c r="A98" s="476" t="s">
        <v>27</v>
      </c>
      <c r="B98" s="496">
        <f>COUNTIFS('1. ALL DATA'!$Y$5:$Y$123,"PLANNING",'1. ALL DATA'!$H$5:$H$123,"In danger of falling behind target")</f>
        <v>0</v>
      </c>
      <c r="C98" s="494">
        <f>B98/B109</f>
        <v>0</v>
      </c>
      <c r="D98" s="494">
        <f>C98</f>
        <v>0</v>
      </c>
      <c r="E98" s="494">
        <f>B98/B110</f>
        <v>0</v>
      </c>
      <c r="F98" s="479">
        <f>E98</f>
        <v>0</v>
      </c>
      <c r="H98" s="476" t="s">
        <v>27</v>
      </c>
      <c r="I98" s="496">
        <f>COUNTIFS('1. ALL DATA'!$Y$5:$Y$123,"PLANNING",'1. ALL DATA'!$M$5:$M$123,"In danger of falling behind target")</f>
        <v>0</v>
      </c>
      <c r="J98" s="494">
        <f>I98/I109</f>
        <v>0</v>
      </c>
      <c r="K98" s="494">
        <f>J98</f>
        <v>0</v>
      </c>
      <c r="L98" s="494">
        <f>I98/I110</f>
        <v>0</v>
      </c>
      <c r="M98" s="479">
        <f>L98</f>
        <v>0</v>
      </c>
      <c r="O98" s="476" t="s">
        <v>27</v>
      </c>
      <c r="P98" s="496">
        <f>COUNTIFS('1. ALL DATA'!$Y$5:$Y$123,"PLANNING",'1. ALL DATA'!$R$5:$R$123,"In danger of falling behind target")</f>
        <v>1</v>
      </c>
      <c r="Q98" s="494">
        <f>P98/P109</f>
        <v>7.1428571428571425E-2</v>
      </c>
      <c r="R98" s="494">
        <f>Q98</f>
        <v>7.1428571428571425E-2</v>
      </c>
      <c r="S98" s="494">
        <f>P98/P110</f>
        <v>7.1428571428571425E-2</v>
      </c>
      <c r="T98" s="479">
        <f>S98</f>
        <v>7.1428571428571425E-2</v>
      </c>
      <c r="V98" s="297" t="s">
        <v>84</v>
      </c>
      <c r="W98" s="276">
        <f>COUNTIFS('1. ALL DATA'!$Y$5:$Y$123,"PLANNING",'1. ALL DATA'!$V$5:$V$123,"Numerical Outturn Within 10% Tolerance")</f>
        <v>0</v>
      </c>
      <c r="X98" s="150">
        <f t="shared" si="2"/>
        <v>0</v>
      </c>
      <c r="Y98" s="497">
        <f>SUM(X98:X100)</f>
        <v>0</v>
      </c>
      <c r="Z98" s="150" t="e">
        <f t="shared" si="3"/>
        <v>#DIV/0!</v>
      </c>
      <c r="AA98" s="479" t="e">
        <f>SUM(Z98:Z100)</f>
        <v>#DIV/0!</v>
      </c>
    </row>
    <row r="99" spans="1:27" ht="16.5" customHeight="1">
      <c r="A99" s="476"/>
      <c r="B99" s="496"/>
      <c r="C99" s="494"/>
      <c r="D99" s="494"/>
      <c r="E99" s="494"/>
      <c r="F99" s="479"/>
      <c r="H99" s="476"/>
      <c r="I99" s="496"/>
      <c r="J99" s="494"/>
      <c r="K99" s="494"/>
      <c r="L99" s="494"/>
      <c r="M99" s="479"/>
      <c r="O99" s="476"/>
      <c r="P99" s="496"/>
      <c r="Q99" s="494"/>
      <c r="R99" s="494"/>
      <c r="S99" s="494"/>
      <c r="T99" s="479"/>
      <c r="V99" s="297" t="s">
        <v>85</v>
      </c>
      <c r="W99" s="276">
        <f>COUNTIFS('1. ALL DATA'!$Y$5:$Y$123,"PLANNING",'1. ALL DATA'!$V$5:$V$123,"Target Partially Met")</f>
        <v>0</v>
      </c>
      <c r="X99" s="150">
        <f t="shared" si="2"/>
        <v>0</v>
      </c>
      <c r="Y99" s="498"/>
      <c r="Z99" s="150" t="e">
        <f t="shared" si="3"/>
        <v>#DIV/0!</v>
      </c>
      <c r="AA99" s="479"/>
    </row>
    <row r="100" spans="1:27" ht="16.5" customHeight="1">
      <c r="A100" s="476"/>
      <c r="B100" s="496"/>
      <c r="C100" s="494"/>
      <c r="D100" s="494"/>
      <c r="E100" s="494"/>
      <c r="F100" s="479"/>
      <c r="H100" s="476"/>
      <c r="I100" s="496"/>
      <c r="J100" s="494"/>
      <c r="K100" s="494"/>
      <c r="L100" s="494"/>
      <c r="M100" s="479"/>
      <c r="O100" s="476"/>
      <c r="P100" s="496"/>
      <c r="Q100" s="494"/>
      <c r="R100" s="494"/>
      <c r="S100" s="494"/>
      <c r="T100" s="479"/>
      <c r="V100" s="297" t="s">
        <v>87</v>
      </c>
      <c r="W100" s="276">
        <f>COUNTIFS('1. ALL DATA'!$Y$5:$Y$123,"PLANNING",'1. ALL DATA'!$V$5:$V$123,"Completion Date Within Reasonable Tolerance")</f>
        <v>0</v>
      </c>
      <c r="X100" s="150">
        <f t="shared" si="2"/>
        <v>0</v>
      </c>
      <c r="Y100" s="499"/>
      <c r="Z100" s="150" t="e">
        <f t="shared" si="3"/>
        <v>#DIV/0!</v>
      </c>
      <c r="AA100" s="479"/>
    </row>
    <row r="101" spans="1:27" s="64" customFormat="1" ht="6" customHeight="1">
      <c r="A101" s="184"/>
      <c r="B101" s="184"/>
      <c r="C101" s="185"/>
      <c r="D101" s="185"/>
      <c r="E101" s="185"/>
      <c r="F101" s="186"/>
      <c r="H101" s="184"/>
      <c r="I101" s="184"/>
      <c r="J101" s="185"/>
      <c r="K101" s="185"/>
      <c r="L101" s="185"/>
      <c r="M101" s="186"/>
      <c r="O101" s="184"/>
      <c r="P101" s="184"/>
      <c r="Q101" s="185"/>
      <c r="R101" s="185"/>
      <c r="S101" s="185"/>
      <c r="T101" s="186"/>
      <c r="V101" s="187"/>
      <c r="W101" s="184"/>
      <c r="X101" s="364"/>
      <c r="Y101" s="185"/>
      <c r="Z101" s="364"/>
      <c r="AA101" s="186"/>
    </row>
    <row r="102" spans="1:27" ht="22.5" customHeight="1">
      <c r="A102" s="296" t="s">
        <v>43</v>
      </c>
      <c r="B102" s="72">
        <f>COUNTIFS('1. ALL DATA'!$Y$5:$Y$123,"PLANNING",'1. ALL DATA'!$H$5:$H$123,"Completed behind schedule")</f>
        <v>0</v>
      </c>
      <c r="C102" s="126">
        <f>B102/B109</f>
        <v>0</v>
      </c>
      <c r="D102" s="494">
        <f>C102+C103</f>
        <v>0</v>
      </c>
      <c r="E102" s="126">
        <f>B102/B110</f>
        <v>0</v>
      </c>
      <c r="F102" s="495">
        <f>E102+E103</f>
        <v>0</v>
      </c>
      <c r="H102" s="296" t="s">
        <v>43</v>
      </c>
      <c r="I102" s="72">
        <f>COUNTIFS('1. ALL DATA'!$Y$5:$Y$123,"PLANNING",'1. ALL DATA'!$M$5:$M$123,"Completed behind schedule")</f>
        <v>0</v>
      </c>
      <c r="J102" s="126">
        <f>I102/I109</f>
        <v>0</v>
      </c>
      <c r="K102" s="494">
        <f>J102+J103</f>
        <v>0</v>
      </c>
      <c r="L102" s="126">
        <f>I102/I110</f>
        <v>0</v>
      </c>
      <c r="M102" s="495">
        <f>L102+L103</f>
        <v>0</v>
      </c>
      <c r="O102" s="296" t="s">
        <v>43</v>
      </c>
      <c r="P102" s="72">
        <f>COUNTIFS('1. ALL DATA'!$Y$5:$Y$123,"PLANNING",'1. ALL DATA'!$R$5:$R$123,"Completed behind schedule")</f>
        <v>0</v>
      </c>
      <c r="Q102" s="126">
        <f>P102/P109</f>
        <v>0</v>
      </c>
      <c r="R102" s="494">
        <f>Q102+Q103</f>
        <v>0</v>
      </c>
      <c r="S102" s="126">
        <f>P102/P110</f>
        <v>0</v>
      </c>
      <c r="T102" s="495">
        <f>S102+S103</f>
        <v>0</v>
      </c>
      <c r="V102" s="296" t="s">
        <v>86</v>
      </c>
      <c r="W102" s="276">
        <f>COUNTIFS('1. ALL DATA'!$Y$5:$Y$123,"PLANNING",'1. ALL DATA'!$V$5:$V$123,"Completed Significantly After Target Deadline")</f>
        <v>0</v>
      </c>
      <c r="X102" s="150">
        <f t="shared" si="2"/>
        <v>0</v>
      </c>
      <c r="Y102" s="494">
        <f>X102+X103</f>
        <v>0</v>
      </c>
      <c r="Z102" s="150" t="e">
        <f t="shared" si="3"/>
        <v>#DIV/0!</v>
      </c>
      <c r="AA102" s="495" t="e">
        <f>Z102+Z103</f>
        <v>#DIV/0!</v>
      </c>
    </row>
    <row r="103" spans="1:27" ht="22.5" customHeight="1">
      <c r="A103" s="296" t="s">
        <v>28</v>
      </c>
      <c r="B103" s="72">
        <f>COUNTIFS('1. ALL DATA'!$Y$5:$Y$123,"PLANNING",'1. ALL DATA'!$H$5:$H$123,"Off target")</f>
        <v>0</v>
      </c>
      <c r="C103" s="126">
        <f>B103/B109</f>
        <v>0</v>
      </c>
      <c r="D103" s="494"/>
      <c r="E103" s="126">
        <f>B103/B110</f>
        <v>0</v>
      </c>
      <c r="F103" s="495"/>
      <c r="H103" s="296" t="s">
        <v>28</v>
      </c>
      <c r="I103" s="72">
        <f>COUNTIFS('1. ALL DATA'!$Y$5:$Y$123,"PLANNING",'1. ALL DATA'!$M$5:$M$123,"Off target")</f>
        <v>0</v>
      </c>
      <c r="J103" s="126">
        <f>I103/I109</f>
        <v>0</v>
      </c>
      <c r="K103" s="494"/>
      <c r="L103" s="126">
        <f>I103/I110</f>
        <v>0</v>
      </c>
      <c r="M103" s="495"/>
      <c r="O103" s="296" t="s">
        <v>28</v>
      </c>
      <c r="P103" s="72">
        <f>COUNTIFS('1. ALL DATA'!$Y$5:$Y$123,"PLANNING",'1. ALL DATA'!$R$5:$R$123,"Off target")</f>
        <v>0</v>
      </c>
      <c r="Q103" s="126">
        <f>P103/P109</f>
        <v>0</v>
      </c>
      <c r="R103" s="494"/>
      <c r="S103" s="126">
        <f>P103/P110</f>
        <v>0</v>
      </c>
      <c r="T103" s="495"/>
      <c r="V103" s="296" t="s">
        <v>28</v>
      </c>
      <c r="W103" s="276">
        <f>COUNTIFS('1. ALL DATA'!$Y$5:$Y$123,"PLANNING",'1. ALL DATA'!$V$5:$V$123,"Off Target")</f>
        <v>0</v>
      </c>
      <c r="X103" s="150">
        <f t="shared" si="2"/>
        <v>0</v>
      </c>
      <c r="Y103" s="494"/>
      <c r="Z103" s="150" t="e">
        <f t="shared" si="3"/>
        <v>#DIV/0!</v>
      </c>
      <c r="AA103" s="495"/>
    </row>
    <row r="104" spans="1:27" s="64" customFormat="1" ht="6.75" customHeight="1">
      <c r="A104" s="184"/>
      <c r="B104" s="189"/>
      <c r="C104" s="185"/>
      <c r="D104" s="185"/>
      <c r="E104" s="185"/>
      <c r="F104" s="190"/>
      <c r="H104" s="184"/>
      <c r="I104" s="189"/>
      <c r="J104" s="185"/>
      <c r="K104" s="185"/>
      <c r="L104" s="185"/>
      <c r="M104" s="190"/>
      <c r="O104" s="184"/>
      <c r="P104" s="189"/>
      <c r="Q104" s="185"/>
      <c r="R104" s="185"/>
      <c r="S104" s="185"/>
      <c r="T104" s="190"/>
      <c r="V104" s="366"/>
      <c r="W104" s="191"/>
      <c r="X104" s="364"/>
      <c r="Y104" s="192"/>
      <c r="Z104" s="193"/>
      <c r="AA104" s="256"/>
    </row>
    <row r="105" spans="1:27" ht="15.75" customHeight="1">
      <c r="A105" s="48" t="s">
        <v>2</v>
      </c>
      <c r="B105" s="63">
        <f>COUNTIFS('1. ALL DATA'!$Y$5:$Y$123,"PLANNING",'1. ALL DATA'!$H$5:$H$123,"Not yet due")</f>
        <v>3</v>
      </c>
      <c r="C105" s="78">
        <f>B105/B109</f>
        <v>0.21428571428571427</v>
      </c>
      <c r="D105" s="78">
        <f>C105</f>
        <v>0.21428571428571427</v>
      </c>
      <c r="E105" s="79"/>
      <c r="F105" s="47"/>
      <c r="H105" s="48" t="s">
        <v>2</v>
      </c>
      <c r="I105" s="63">
        <f>COUNTIFS('1. ALL DATA'!$Y$5:$Y$123,"PLANNING",'1. ALL DATA'!$M$5:$M$123,"Not yet due")</f>
        <v>1</v>
      </c>
      <c r="J105" s="78">
        <f>I105/I109</f>
        <v>7.1428571428571425E-2</v>
      </c>
      <c r="K105" s="78">
        <f>J105</f>
        <v>7.1428571428571425E-2</v>
      </c>
      <c r="L105" s="79"/>
      <c r="M105" s="47"/>
      <c r="O105" s="48" t="s">
        <v>2</v>
      </c>
      <c r="P105" s="63">
        <f>COUNTIFS('1. ALL DATA'!$Y$5:$Y$123,"PLANNING",'1. ALL DATA'!$R$5:$R$123,"Not yet due")</f>
        <v>0</v>
      </c>
      <c r="Q105" s="78">
        <f>P105/P109</f>
        <v>0</v>
      </c>
      <c r="R105" s="78">
        <f>Q105</f>
        <v>0</v>
      </c>
      <c r="S105" s="79"/>
      <c r="T105" s="99"/>
      <c r="V105" s="63" t="s">
        <v>2</v>
      </c>
      <c r="W105" s="48">
        <f>COUNTIFS('1. ALL DATA'!$Y$5:$Y$123,"PLANNING",'1. ALL DATA'!$V$5:$V$123,"not yet due")</f>
        <v>0</v>
      </c>
      <c r="X105" s="150">
        <f t="shared" si="2"/>
        <v>0</v>
      </c>
      <c r="Y105" s="78">
        <f>X105</f>
        <v>0</v>
      </c>
      <c r="Z105" s="79"/>
      <c r="AA105" s="258"/>
    </row>
    <row r="106" spans="1:27" ht="15.75" customHeight="1">
      <c r="A106" s="48" t="s">
        <v>47</v>
      </c>
      <c r="B106" s="63">
        <f>COUNTIFS('1. ALL DATA'!$Y$5:$Y$123,"PLANNING",'1. ALL DATA'!$H$5:$H$123,"Update not provided")</f>
        <v>0</v>
      </c>
      <c r="C106" s="78">
        <f>B106/B109</f>
        <v>0</v>
      </c>
      <c r="D106" s="78">
        <f>C106</f>
        <v>0</v>
      </c>
      <c r="E106" s="79"/>
      <c r="F106" s="104"/>
      <c r="H106" s="48" t="s">
        <v>47</v>
      </c>
      <c r="I106" s="63">
        <f>COUNTIFS('1. ALL DATA'!$Y$5:$Y$123,"PLANNING",'1. ALL DATA'!$M$5:$M$123,"Update not provided")</f>
        <v>0</v>
      </c>
      <c r="J106" s="78">
        <f>I106/I109</f>
        <v>0</v>
      </c>
      <c r="K106" s="78">
        <f>J106</f>
        <v>0</v>
      </c>
      <c r="L106" s="79"/>
      <c r="M106" s="104"/>
      <c r="O106" s="48" t="s">
        <v>47</v>
      </c>
      <c r="P106" s="63">
        <f>COUNTIFS('1. ALL DATA'!$Y$5:$Y$123,"PLANNING",'1. ALL DATA'!$R$5:$R$123,"Update not provided")</f>
        <v>0</v>
      </c>
      <c r="Q106" s="78">
        <f>P106/P109</f>
        <v>0</v>
      </c>
      <c r="R106" s="78">
        <f>Q106</f>
        <v>0</v>
      </c>
      <c r="S106" s="79"/>
      <c r="T106" s="100"/>
      <c r="V106" s="65" t="s">
        <v>47</v>
      </c>
      <c r="W106" s="48">
        <f>COUNTIFS('1. ALL DATA'!$Y$5:$Y$123,"PLANNING",'1. ALL DATA'!$V$5:$V$123,"Update not provided")</f>
        <v>14</v>
      </c>
      <c r="X106" s="150">
        <f t="shared" si="2"/>
        <v>1</v>
      </c>
      <c r="Y106" s="78">
        <f>X106</f>
        <v>1</v>
      </c>
      <c r="Z106" s="79"/>
    </row>
    <row r="107" spans="1:27" ht="15.75" customHeight="1">
      <c r="A107" s="49" t="s">
        <v>23</v>
      </c>
      <c r="B107" s="63">
        <f>COUNTIFS('1. ALL DATA'!$Y$5:$Y$123,"PLANNING",'1. ALL DATA'!$H$5:$H$123,"Deferred")</f>
        <v>0</v>
      </c>
      <c r="C107" s="81">
        <f>B107/B109</f>
        <v>0</v>
      </c>
      <c r="D107" s="81">
        <f>C107</f>
        <v>0</v>
      </c>
      <c r="E107" s="80"/>
      <c r="F107" s="47"/>
      <c r="H107" s="49" t="s">
        <v>23</v>
      </c>
      <c r="I107" s="63">
        <f>COUNTIFS('1. ALL DATA'!$Y$5:$Y$123,"PLANNING",'1. ALL DATA'!$M$5:$M$123,"Deferred")</f>
        <v>0</v>
      </c>
      <c r="J107" s="81">
        <f>I107/I109</f>
        <v>0</v>
      </c>
      <c r="K107" s="81">
        <f>J107</f>
        <v>0</v>
      </c>
      <c r="L107" s="80"/>
      <c r="M107" s="47"/>
      <c r="O107" s="49" t="s">
        <v>23</v>
      </c>
      <c r="P107" s="63">
        <f>COUNTIFS('1. ALL DATA'!$Y$5:$Y$123,"PLANNING",'1. ALL DATA'!$R$5:$R$123,"Deferred")</f>
        <v>0</v>
      </c>
      <c r="Q107" s="81">
        <f>P107/P109</f>
        <v>0</v>
      </c>
      <c r="R107" s="81">
        <f>Q107</f>
        <v>0</v>
      </c>
      <c r="S107" s="80"/>
      <c r="T107" s="99"/>
      <c r="V107" s="49" t="s">
        <v>23</v>
      </c>
      <c r="W107" s="48">
        <f>COUNTIFS('1. ALL DATA'!$Y$5:$Y$123,"PLANNING",'1. ALL DATA'!$V$5:$V$123,"Deferred")</f>
        <v>0</v>
      </c>
      <c r="X107" s="150">
        <f t="shared" si="2"/>
        <v>0</v>
      </c>
      <c r="Y107" s="81">
        <f>X107</f>
        <v>0</v>
      </c>
      <c r="Z107" s="80"/>
      <c r="AA107" s="258"/>
    </row>
    <row r="108" spans="1:27" ht="15.75" customHeight="1">
      <c r="A108" s="49" t="s">
        <v>29</v>
      </c>
      <c r="B108" s="63">
        <f>COUNTIFS('1. ALL DATA'!$Y$5:$Y$123,"PLANNING",'1. ALL DATA'!$H$5:$H$123,"Deleted")</f>
        <v>0</v>
      </c>
      <c r="C108" s="81">
        <f>B108/B109</f>
        <v>0</v>
      </c>
      <c r="D108" s="81">
        <f>C108</f>
        <v>0</v>
      </c>
      <c r="E108" s="80"/>
      <c r="F108" s="97" t="s">
        <v>63</v>
      </c>
      <c r="H108" s="49" t="s">
        <v>29</v>
      </c>
      <c r="I108" s="63">
        <f>COUNTIFS('1. ALL DATA'!$Y$5:$Y$123,"PLANNING",'1. ALL DATA'!$M$5:$M$123,"Deleted")</f>
        <v>0</v>
      </c>
      <c r="J108" s="81">
        <f>I108/I109</f>
        <v>0</v>
      </c>
      <c r="K108" s="81">
        <f>J108</f>
        <v>0</v>
      </c>
      <c r="L108" s="80"/>
      <c r="M108" s="97" t="s">
        <v>63</v>
      </c>
      <c r="O108" s="49" t="s">
        <v>29</v>
      </c>
      <c r="P108" s="63">
        <f>COUNTIFS('1. ALL DATA'!$Y$5:$Y$123,"PLANNING",'1. ALL DATA'!$R$5:$R$123,"Deleted")</f>
        <v>0</v>
      </c>
      <c r="Q108" s="81">
        <f>P108/P109</f>
        <v>0</v>
      </c>
      <c r="R108" s="81">
        <f>Q108</f>
        <v>0</v>
      </c>
      <c r="S108" s="80"/>
      <c r="T108" s="97" t="s">
        <v>63</v>
      </c>
      <c r="V108" s="49" t="s">
        <v>29</v>
      </c>
      <c r="W108" s="48">
        <f>COUNTIFS('1. ALL DATA'!$Y$5:$Y$123,"PLANNING",'1. ALL DATA'!$V$5:$V$123,"Deleted")</f>
        <v>0</v>
      </c>
      <c r="X108" s="150">
        <f t="shared" si="2"/>
        <v>0</v>
      </c>
      <c r="Y108" s="81">
        <f>X108</f>
        <v>0</v>
      </c>
      <c r="Z108" s="80"/>
      <c r="AA108" s="97" t="s">
        <v>63</v>
      </c>
    </row>
    <row r="109" spans="1:27" ht="15.75" customHeight="1">
      <c r="A109" s="50" t="s">
        <v>31</v>
      </c>
      <c r="B109" s="82">
        <f>SUM(B95:B108)</f>
        <v>14</v>
      </c>
      <c r="C109" s="80"/>
      <c r="D109" s="80"/>
      <c r="E109" s="52"/>
      <c r="F109" s="47"/>
      <c r="H109" s="50" t="s">
        <v>31</v>
      </c>
      <c r="I109" s="82">
        <f>SUM(I95:I108)</f>
        <v>14</v>
      </c>
      <c r="J109" s="80"/>
      <c r="K109" s="80"/>
      <c r="L109" s="52"/>
      <c r="M109" s="47"/>
      <c r="O109" s="50" t="s">
        <v>31</v>
      </c>
      <c r="P109" s="82">
        <f>SUM(P95:P108)</f>
        <v>14</v>
      </c>
      <c r="Q109" s="80"/>
      <c r="R109" s="80"/>
      <c r="S109" s="52"/>
      <c r="T109" s="99"/>
      <c r="V109" s="50" t="s">
        <v>31</v>
      </c>
      <c r="W109" s="87">
        <f>SUM(W95:W108)</f>
        <v>14</v>
      </c>
      <c r="X109" s="80"/>
      <c r="Y109" s="80"/>
      <c r="Z109" s="52"/>
      <c r="AA109" s="258"/>
    </row>
    <row r="110" spans="1:27" ht="15.75" customHeight="1">
      <c r="A110" s="50" t="s">
        <v>32</v>
      </c>
      <c r="B110" s="82">
        <f>B109-B108-B107-B106-B105</f>
        <v>11</v>
      </c>
      <c r="C110" s="52"/>
      <c r="D110" s="52"/>
      <c r="E110" s="52"/>
      <c r="F110" s="47"/>
      <c r="H110" s="50" t="s">
        <v>32</v>
      </c>
      <c r="I110" s="82">
        <f>I109-I108-I107-I106-I105</f>
        <v>13</v>
      </c>
      <c r="J110" s="52"/>
      <c r="K110" s="52"/>
      <c r="L110" s="52"/>
      <c r="M110" s="47"/>
      <c r="O110" s="50" t="s">
        <v>32</v>
      </c>
      <c r="P110" s="82">
        <f>P109-P108-P107-P106-P105</f>
        <v>14</v>
      </c>
      <c r="Q110" s="52"/>
      <c r="R110" s="52"/>
      <c r="S110" s="52"/>
      <c r="T110" s="99"/>
      <c r="V110" s="50" t="s">
        <v>32</v>
      </c>
      <c r="W110" s="87">
        <f>W109-W108-W107-W106-W105</f>
        <v>0</v>
      </c>
      <c r="X110" s="52"/>
      <c r="Y110" s="52"/>
      <c r="Z110" s="52"/>
      <c r="AA110" s="258"/>
    </row>
    <row r="111" spans="1:27" ht="15.75" customHeight="1">
      <c r="W111" s="88"/>
    </row>
    <row r="112" spans="1:27" ht="15.75" customHeight="1">
      <c r="W112" s="88"/>
    </row>
    <row r="113" spans="1:27" ht="15.75" customHeight="1">
      <c r="W113" s="88"/>
    </row>
    <row r="114" spans="1:27" s="64" customFormat="1" ht="15.75">
      <c r="A114" s="363" t="s">
        <v>39</v>
      </c>
      <c r="B114" s="357"/>
      <c r="C114" s="357"/>
      <c r="D114" s="357"/>
      <c r="E114" s="357"/>
      <c r="F114" s="358"/>
      <c r="H114" s="363" t="s">
        <v>39</v>
      </c>
      <c r="I114" s="357"/>
      <c r="J114" s="357"/>
      <c r="K114" s="357"/>
      <c r="L114" s="357"/>
      <c r="M114" s="358"/>
      <c r="O114" s="363" t="s">
        <v>39</v>
      </c>
      <c r="P114" s="357"/>
      <c r="Q114" s="357"/>
      <c r="R114" s="357"/>
      <c r="S114" s="357"/>
      <c r="T114" s="358"/>
      <c r="V114" s="363" t="s">
        <v>39</v>
      </c>
      <c r="W114" s="357"/>
      <c r="X114" s="357"/>
      <c r="Y114" s="357"/>
      <c r="Z114" s="357"/>
      <c r="AA114" s="358"/>
    </row>
    <row r="115" spans="1:27" ht="41.25" customHeight="1">
      <c r="A115" s="359" t="s">
        <v>24</v>
      </c>
      <c r="B115" s="359" t="s">
        <v>25</v>
      </c>
      <c r="C115" s="359" t="s">
        <v>19</v>
      </c>
      <c r="D115" s="359" t="s">
        <v>49</v>
      </c>
      <c r="E115" s="359" t="s">
        <v>30</v>
      </c>
      <c r="F115" s="360" t="s">
        <v>50</v>
      </c>
      <c r="H115" s="359" t="s">
        <v>24</v>
      </c>
      <c r="I115" s="359" t="s">
        <v>25</v>
      </c>
      <c r="J115" s="359" t="s">
        <v>19</v>
      </c>
      <c r="K115" s="359" t="s">
        <v>49</v>
      </c>
      <c r="L115" s="359" t="s">
        <v>30</v>
      </c>
      <c r="M115" s="360" t="s">
        <v>50</v>
      </c>
      <c r="O115" s="359" t="s">
        <v>24</v>
      </c>
      <c r="P115" s="359" t="s">
        <v>25</v>
      </c>
      <c r="Q115" s="359" t="s">
        <v>19</v>
      </c>
      <c r="R115" s="359" t="s">
        <v>49</v>
      </c>
      <c r="S115" s="359" t="s">
        <v>30</v>
      </c>
      <c r="T115" s="361" t="s">
        <v>50</v>
      </c>
      <c r="V115" s="359" t="s">
        <v>24</v>
      </c>
      <c r="W115" s="359" t="s">
        <v>25</v>
      </c>
      <c r="X115" s="359" t="s">
        <v>19</v>
      </c>
      <c r="Y115" s="359" t="s">
        <v>49</v>
      </c>
      <c r="Z115" s="359" t="s">
        <v>30</v>
      </c>
      <c r="AA115" s="362" t="s">
        <v>50</v>
      </c>
    </row>
    <row r="116" spans="1:27" ht="6.75" customHeight="1">
      <c r="A116" s="53"/>
      <c r="B116" s="53"/>
      <c r="C116" s="53"/>
      <c r="D116" s="53"/>
      <c r="E116" s="53"/>
      <c r="F116" s="56"/>
      <c r="H116" s="53"/>
      <c r="I116" s="53"/>
      <c r="J116" s="53"/>
      <c r="K116" s="53"/>
      <c r="L116" s="53"/>
      <c r="M116" s="56"/>
      <c r="O116" s="53"/>
      <c r="P116" s="53"/>
      <c r="Q116" s="53"/>
      <c r="R116" s="53"/>
      <c r="S116" s="53"/>
      <c r="T116" s="94"/>
      <c r="V116" s="53"/>
      <c r="W116" s="53"/>
      <c r="X116" s="53"/>
      <c r="Y116" s="53"/>
      <c r="Z116" s="53"/>
      <c r="AA116" s="260"/>
    </row>
    <row r="117" spans="1:27" ht="27.75" customHeight="1">
      <c r="A117" s="295" t="s">
        <v>46</v>
      </c>
      <c r="B117" s="72">
        <f>COUNTIFS('1. ALL DATA'!$Y$5:$Y$123,"REGULATORY SERVICES",'1. ALL DATA'!$H$5:$H$123,"Fully Achieved")</f>
        <v>3</v>
      </c>
      <c r="C117" s="126">
        <f>B117/B131</f>
        <v>0.27272727272727271</v>
      </c>
      <c r="D117" s="494">
        <f>C117+C118</f>
        <v>0.81818181818181812</v>
      </c>
      <c r="E117" s="126">
        <f>B117/B132</f>
        <v>0.33333333333333331</v>
      </c>
      <c r="F117" s="481">
        <f>E117+E118</f>
        <v>1</v>
      </c>
      <c r="H117" s="295" t="s">
        <v>46</v>
      </c>
      <c r="I117" s="72">
        <f>COUNTIFS('1. ALL DATA'!$Y$5:$Y$123,"REGULATORY SERVICES",'1. ALL DATA'!$M$5:$M$123,"Fully Achieved")</f>
        <v>6</v>
      </c>
      <c r="J117" s="126">
        <f>I117/I131</f>
        <v>0.54545454545454541</v>
      </c>
      <c r="K117" s="494">
        <f>J117+J118</f>
        <v>0.90909090909090906</v>
      </c>
      <c r="L117" s="126">
        <f>I117/I132</f>
        <v>0.6</v>
      </c>
      <c r="M117" s="481">
        <f>L117+L118</f>
        <v>1</v>
      </c>
      <c r="O117" s="295" t="s">
        <v>46</v>
      </c>
      <c r="P117" s="72">
        <f>COUNTIFS('1. ALL DATA'!$Y$5:$Y$123,"REGULATORY SERVICES",'1. ALL DATA'!$R$5:$R$123,"Fully Achieved")</f>
        <v>9</v>
      </c>
      <c r="Q117" s="126">
        <f>P117/P131</f>
        <v>0.81818181818181823</v>
      </c>
      <c r="R117" s="494">
        <f>Q117+Q118</f>
        <v>1</v>
      </c>
      <c r="S117" s="126">
        <f>P117/P132</f>
        <v>0.81818181818181823</v>
      </c>
      <c r="T117" s="481">
        <f>S117+S118</f>
        <v>1</v>
      </c>
      <c r="V117" s="295" t="s">
        <v>41</v>
      </c>
      <c r="W117" s="151">
        <f>COUNTIFS('1. ALL DATA'!$Y$5:$Y$123,"REGULATORY SERVICES",'1. ALL DATA'!$V$5:$V$123,"Fully Achieved")</f>
        <v>0</v>
      </c>
      <c r="X117" s="126">
        <f>W117/$W$131</f>
        <v>0</v>
      </c>
      <c r="Y117" s="494">
        <f>X117+X118</f>
        <v>0</v>
      </c>
      <c r="Z117" s="126" t="e">
        <f>W117/$W$132</f>
        <v>#DIV/0!</v>
      </c>
      <c r="AA117" s="481" t="e">
        <f>Z117+Z118</f>
        <v>#DIV/0!</v>
      </c>
    </row>
    <row r="118" spans="1:27" ht="27.75" customHeight="1">
      <c r="A118" s="295" t="s">
        <v>42</v>
      </c>
      <c r="B118" s="72">
        <f>COUNTIFS('1. ALL DATA'!$Y$5:$Y$123,"REGULATORY SERVICES",'1. ALL DATA'!$H$5:$H$123,"On track to be achieved")</f>
        <v>6</v>
      </c>
      <c r="C118" s="126">
        <f>B118/B131</f>
        <v>0.54545454545454541</v>
      </c>
      <c r="D118" s="494"/>
      <c r="E118" s="126">
        <f>B118/B132</f>
        <v>0.66666666666666663</v>
      </c>
      <c r="F118" s="481"/>
      <c r="H118" s="295" t="s">
        <v>42</v>
      </c>
      <c r="I118" s="72">
        <f>COUNTIFS('1. ALL DATA'!$Y$5:$Y$123,"REGULATORY SERVICES",'1. ALL DATA'!$M$5:$M$123,"On track to be achieved")</f>
        <v>4</v>
      </c>
      <c r="J118" s="126">
        <f>I118/I131</f>
        <v>0.36363636363636365</v>
      </c>
      <c r="K118" s="494"/>
      <c r="L118" s="126">
        <f>I118/I132</f>
        <v>0.4</v>
      </c>
      <c r="M118" s="481"/>
      <c r="O118" s="295" t="s">
        <v>42</v>
      </c>
      <c r="P118" s="72">
        <f>COUNTIFS('1. ALL DATA'!$Y$5:$Y$123,"REGULATORY SERVICES",'1. ALL DATA'!$R$5:$R$123,"On track to be achieved")</f>
        <v>2</v>
      </c>
      <c r="Q118" s="126">
        <f>P118/P131</f>
        <v>0.18181818181818182</v>
      </c>
      <c r="R118" s="494"/>
      <c r="S118" s="126">
        <f>P118/P132</f>
        <v>0.18181818181818182</v>
      </c>
      <c r="T118" s="481"/>
      <c r="V118" s="295" t="s">
        <v>83</v>
      </c>
      <c r="W118" s="151">
        <f>COUNTIFS('1. ALL DATA'!$Y$5:$Y$123,"REGULATORY SERVICES",'1. ALL DATA'!$V$5:$V$123,"Numerical Outturn Within 5% Tolerance")</f>
        <v>0</v>
      </c>
      <c r="X118" s="150">
        <f t="shared" ref="X118:X130" si="4">W118/$W$131</f>
        <v>0</v>
      </c>
      <c r="Y118" s="494"/>
      <c r="Z118" s="150" t="e">
        <f t="shared" ref="Z118:Z125" si="5">W118/$W$132</f>
        <v>#DIV/0!</v>
      </c>
      <c r="AA118" s="481"/>
    </row>
    <row r="119" spans="1:27" ht="7.5" customHeight="1">
      <c r="A119" s="184"/>
      <c r="B119" s="73"/>
      <c r="C119" s="74"/>
      <c r="D119" s="74"/>
      <c r="E119" s="74"/>
      <c r="F119" s="186"/>
      <c r="H119" s="184"/>
      <c r="I119" s="73"/>
      <c r="J119" s="74"/>
      <c r="K119" s="74"/>
      <c r="L119" s="74"/>
      <c r="M119" s="186"/>
      <c r="O119" s="184"/>
      <c r="P119" s="73"/>
      <c r="Q119" s="74"/>
      <c r="R119" s="74"/>
      <c r="S119" s="74"/>
      <c r="T119" s="186"/>
      <c r="V119" s="187"/>
      <c r="W119" s="53"/>
      <c r="X119" s="150"/>
      <c r="Y119" s="74"/>
      <c r="Z119" s="150"/>
      <c r="AA119" s="186"/>
    </row>
    <row r="120" spans="1:27" ht="21" customHeight="1">
      <c r="A120" s="476" t="s">
        <v>27</v>
      </c>
      <c r="B120" s="496">
        <f>COUNTIFS('1. ALL DATA'!$Y$5:$Y$123,"REGULATORY SERVICES",'1. ALL DATA'!$H$5:$H$123,"In danger of falling behind target")</f>
        <v>0</v>
      </c>
      <c r="C120" s="494">
        <f>B120/B131</f>
        <v>0</v>
      </c>
      <c r="D120" s="494">
        <f>C120</f>
        <v>0</v>
      </c>
      <c r="E120" s="494">
        <f>B120/B132</f>
        <v>0</v>
      </c>
      <c r="F120" s="479">
        <f>E120</f>
        <v>0</v>
      </c>
      <c r="H120" s="476" t="s">
        <v>27</v>
      </c>
      <c r="I120" s="496">
        <f>COUNTIFS('1. ALL DATA'!$Y$5:$Y$123,"REGULATORY SERVICES",'1. ALL DATA'!$M$5:$M$123,"In danger of falling behind target")</f>
        <v>0</v>
      </c>
      <c r="J120" s="494">
        <f>I120/I131</f>
        <v>0</v>
      </c>
      <c r="K120" s="494">
        <f>J120</f>
        <v>0</v>
      </c>
      <c r="L120" s="494">
        <f>I120/I132</f>
        <v>0</v>
      </c>
      <c r="M120" s="479">
        <f>L120</f>
        <v>0</v>
      </c>
      <c r="O120" s="476" t="s">
        <v>27</v>
      </c>
      <c r="P120" s="496">
        <f>COUNTIFS('1. ALL DATA'!$Y$5:$Y$123,"REGULATORY SERVICES",'1. ALL DATA'!$R$5:$R$123,"In danger of falling behind target")</f>
        <v>0</v>
      </c>
      <c r="Q120" s="494">
        <f>P120/P131</f>
        <v>0</v>
      </c>
      <c r="R120" s="494">
        <f>Q120</f>
        <v>0</v>
      </c>
      <c r="S120" s="494">
        <f>P120/P132</f>
        <v>0</v>
      </c>
      <c r="T120" s="479">
        <f>S120</f>
        <v>0</v>
      </c>
      <c r="V120" s="297" t="s">
        <v>84</v>
      </c>
      <c r="W120" s="276">
        <f>COUNTIFS('1. ALL DATA'!$Y$5:$Y$123,"REGULATORY SERVICES",'1. ALL DATA'!$V$5:$V$123,"Numerical Outturn Within 10% Tolerance")</f>
        <v>0</v>
      </c>
      <c r="X120" s="150">
        <f t="shared" si="4"/>
        <v>0</v>
      </c>
      <c r="Y120" s="497">
        <f>SUM(X120:X123)</f>
        <v>0</v>
      </c>
      <c r="Z120" s="150" t="e">
        <f t="shared" si="5"/>
        <v>#DIV/0!</v>
      </c>
      <c r="AA120" s="479" t="e">
        <f>SUM(Z120:Z123)</f>
        <v>#DIV/0!</v>
      </c>
    </row>
    <row r="121" spans="1:27" ht="18.75" customHeight="1">
      <c r="A121" s="476"/>
      <c r="B121" s="496"/>
      <c r="C121" s="494"/>
      <c r="D121" s="494"/>
      <c r="E121" s="494"/>
      <c r="F121" s="479"/>
      <c r="H121" s="476"/>
      <c r="I121" s="496"/>
      <c r="J121" s="494"/>
      <c r="K121" s="494"/>
      <c r="L121" s="494"/>
      <c r="M121" s="479"/>
      <c r="O121" s="476"/>
      <c r="P121" s="496"/>
      <c r="Q121" s="494"/>
      <c r="R121" s="494"/>
      <c r="S121" s="494"/>
      <c r="T121" s="479"/>
      <c r="V121" s="297" t="s">
        <v>85</v>
      </c>
      <c r="W121" s="276">
        <f>COUNTIFS('1. ALL DATA'!$Y$5:$Y$123,"REGULATORY SERVICES",'1. ALL DATA'!$V$5:$V$123,"Target Partially Met")</f>
        <v>0</v>
      </c>
      <c r="X121" s="150">
        <f t="shared" si="4"/>
        <v>0</v>
      </c>
      <c r="Y121" s="498"/>
      <c r="Z121" s="150" t="e">
        <f t="shared" si="5"/>
        <v>#DIV/0!</v>
      </c>
      <c r="AA121" s="479"/>
    </row>
    <row r="122" spans="1:27" ht="20.25" customHeight="1">
      <c r="A122" s="476"/>
      <c r="B122" s="496"/>
      <c r="C122" s="494"/>
      <c r="D122" s="494"/>
      <c r="E122" s="494"/>
      <c r="F122" s="479"/>
      <c r="H122" s="476"/>
      <c r="I122" s="496"/>
      <c r="J122" s="494"/>
      <c r="K122" s="494"/>
      <c r="L122" s="494"/>
      <c r="M122" s="479"/>
      <c r="O122" s="476"/>
      <c r="P122" s="496"/>
      <c r="Q122" s="494"/>
      <c r="R122" s="494"/>
      <c r="S122" s="494"/>
      <c r="T122" s="479"/>
      <c r="V122" s="297" t="s">
        <v>87</v>
      </c>
      <c r="W122" s="276">
        <f>COUNTIFS('1. ALL DATA'!$Y$5:$Y$123,"REGULATORY SERVICES",'1. ALL DATA'!$V$5:$V$123,"Completion Date Within Reasonable Tolerance")</f>
        <v>0</v>
      </c>
      <c r="X122" s="150">
        <f>W123/$W$131</f>
        <v>0</v>
      </c>
      <c r="Y122" s="499"/>
      <c r="Z122" s="150" t="e">
        <f>W123/$W$132</f>
        <v>#DIV/0!</v>
      </c>
      <c r="AA122" s="479"/>
    </row>
    <row r="123" spans="1:27" ht="6" customHeight="1">
      <c r="A123" s="184"/>
      <c r="B123" s="53"/>
      <c r="C123" s="74"/>
      <c r="D123" s="74"/>
      <c r="E123" s="74"/>
      <c r="F123" s="186"/>
      <c r="H123" s="184"/>
      <c r="I123" s="53"/>
      <c r="J123" s="74"/>
      <c r="K123" s="74"/>
      <c r="L123" s="74"/>
      <c r="M123" s="186"/>
      <c r="O123" s="184"/>
      <c r="P123" s="53"/>
      <c r="Q123" s="74"/>
      <c r="R123" s="74"/>
      <c r="S123" s="74"/>
      <c r="T123" s="186"/>
      <c r="V123" s="187"/>
      <c r="W123" s="53"/>
      <c r="X123" s="150"/>
      <c r="Y123" s="74"/>
      <c r="Z123" s="150"/>
      <c r="AA123" s="186"/>
    </row>
    <row r="124" spans="1:27" ht="30" customHeight="1">
      <c r="A124" s="296" t="s">
        <v>43</v>
      </c>
      <c r="B124" s="72">
        <f>COUNTIFS('1. ALL DATA'!$Y$5:$Y$123,"REGULATORY SERVICES",'1. ALL DATA'!$H$5:$H$123,"Completed behind schedule")</f>
        <v>0</v>
      </c>
      <c r="C124" s="126">
        <f>B124/B131</f>
        <v>0</v>
      </c>
      <c r="D124" s="494">
        <f>C124+C125</f>
        <v>0</v>
      </c>
      <c r="E124" s="126">
        <f>B124/B132</f>
        <v>0</v>
      </c>
      <c r="F124" s="495">
        <f>E124+E125</f>
        <v>0</v>
      </c>
      <c r="H124" s="296" t="s">
        <v>43</v>
      </c>
      <c r="I124" s="72">
        <f>COUNTIFS('1. ALL DATA'!$Y$5:$Y$123,"REGULATORY SERVICES",'1. ALL DATA'!$M$5:$M$123,"Completed behind schedule")</f>
        <v>0</v>
      </c>
      <c r="J124" s="126">
        <f>I124/I131</f>
        <v>0</v>
      </c>
      <c r="K124" s="494">
        <f>J124+J125</f>
        <v>0</v>
      </c>
      <c r="L124" s="126">
        <f>I124/I132</f>
        <v>0</v>
      </c>
      <c r="M124" s="495">
        <f>L124+L125</f>
        <v>0</v>
      </c>
      <c r="O124" s="296" t="s">
        <v>43</v>
      </c>
      <c r="P124" s="72">
        <f>COUNTIFS('1. ALL DATA'!$Y$5:$Y$123,"REGULATORY SERVICES",'1. ALL DATA'!$R$5:$R$123,"Completed behind schedule")</f>
        <v>0</v>
      </c>
      <c r="Q124" s="126">
        <f>P124/P131</f>
        <v>0</v>
      </c>
      <c r="R124" s="494">
        <f>Q124+Q125</f>
        <v>0</v>
      </c>
      <c r="S124" s="126">
        <f>P124/P132</f>
        <v>0</v>
      </c>
      <c r="T124" s="495">
        <f>S124+S125</f>
        <v>0</v>
      </c>
      <c r="V124" s="296" t="s">
        <v>86</v>
      </c>
      <c r="W124" s="276">
        <f>COUNTIFS('1. ALL DATA'!$Y$5:$Y$123,"REGULATORY SERVICES",'1. ALL DATA'!$V$5:$V$123,"Completed Significantly After Target Deadline")</f>
        <v>0</v>
      </c>
      <c r="X124" s="150">
        <f t="shared" si="4"/>
        <v>0</v>
      </c>
      <c r="Y124" s="494">
        <f>X124+X125</f>
        <v>0</v>
      </c>
      <c r="Z124" s="150" t="e">
        <f t="shared" si="5"/>
        <v>#DIV/0!</v>
      </c>
      <c r="AA124" s="495" t="e">
        <f>Z124+Z125</f>
        <v>#DIV/0!</v>
      </c>
    </row>
    <row r="125" spans="1:27" ht="30" customHeight="1">
      <c r="A125" s="296" t="s">
        <v>28</v>
      </c>
      <c r="B125" s="72">
        <f>COUNTIFS('1. ALL DATA'!$Y$5:$Y$123,"REGULATORY SERVICES",'1. ALL DATA'!$H$5:$H$123,"Off target")</f>
        <v>0</v>
      </c>
      <c r="C125" s="126">
        <f>B125/B131</f>
        <v>0</v>
      </c>
      <c r="D125" s="494"/>
      <c r="E125" s="126">
        <f>B125/B132</f>
        <v>0</v>
      </c>
      <c r="F125" s="495"/>
      <c r="H125" s="296" t="s">
        <v>28</v>
      </c>
      <c r="I125" s="72">
        <f>COUNTIFS('1. ALL DATA'!$Y$5:$Y$123,"REGULATORY SERVICES",'1. ALL DATA'!$M$5:$M$123,"Off target")</f>
        <v>0</v>
      </c>
      <c r="J125" s="126">
        <f>I125/I131</f>
        <v>0</v>
      </c>
      <c r="K125" s="494"/>
      <c r="L125" s="126">
        <f>I125/I132</f>
        <v>0</v>
      </c>
      <c r="M125" s="495"/>
      <c r="O125" s="296" t="s">
        <v>28</v>
      </c>
      <c r="P125" s="72">
        <f>COUNTIFS('1. ALL DATA'!$Y$5:$Y$123,"REGULATORY SERVICES",'1. ALL DATA'!$R$5:$R$123,"Off target")</f>
        <v>0</v>
      </c>
      <c r="Q125" s="126">
        <f>P125/P131</f>
        <v>0</v>
      </c>
      <c r="R125" s="494"/>
      <c r="S125" s="126">
        <f>P125/P132</f>
        <v>0</v>
      </c>
      <c r="T125" s="495"/>
      <c r="V125" s="296" t="s">
        <v>28</v>
      </c>
      <c r="W125" s="276">
        <f>COUNTIFS('1. ALL DATA'!$Y$5:$Y$123,"REGULATORY SERVICES",'1. ALL DATA'!$V$5:$V$123,"Off Target")</f>
        <v>0</v>
      </c>
      <c r="X125" s="150">
        <f t="shared" si="4"/>
        <v>0</v>
      </c>
      <c r="Y125" s="494"/>
      <c r="Z125" s="150" t="e">
        <f t="shared" si="5"/>
        <v>#DIV/0!</v>
      </c>
      <c r="AA125" s="495"/>
    </row>
    <row r="126" spans="1:27" ht="5.25" customHeight="1">
      <c r="A126" s="53"/>
      <c r="B126" s="73"/>
      <c r="C126" s="74"/>
      <c r="D126" s="74"/>
      <c r="E126" s="74"/>
      <c r="F126" s="98"/>
      <c r="H126" s="53"/>
      <c r="I126" s="73"/>
      <c r="J126" s="74"/>
      <c r="K126" s="74"/>
      <c r="L126" s="74"/>
      <c r="M126" s="98"/>
      <c r="O126" s="53"/>
      <c r="P126" s="73"/>
      <c r="Q126" s="74"/>
      <c r="R126" s="74"/>
      <c r="S126" s="74"/>
      <c r="T126" s="98"/>
      <c r="V126" s="298"/>
      <c r="W126" s="57"/>
      <c r="X126" s="150"/>
      <c r="Y126" s="76"/>
      <c r="Z126" s="77"/>
      <c r="AA126" s="261"/>
    </row>
    <row r="127" spans="1:27" ht="15.75" customHeight="1">
      <c r="A127" s="48" t="s">
        <v>2</v>
      </c>
      <c r="B127" s="63">
        <f>COUNTIFS('1. ALL DATA'!$Y$5:$Y$123,"REGULATORY SERVICES",'1. ALL DATA'!$H$5:$H$123,"Not yet due")</f>
        <v>2</v>
      </c>
      <c r="C127" s="78">
        <f>B127/B131</f>
        <v>0.18181818181818182</v>
      </c>
      <c r="D127" s="78">
        <f>C127</f>
        <v>0.18181818181818182</v>
      </c>
      <c r="E127" s="79"/>
      <c r="F127" s="47"/>
      <c r="H127" s="48" t="s">
        <v>2</v>
      </c>
      <c r="I127" s="63">
        <f>COUNTIFS('1. ALL DATA'!$Y$5:$Y$123,"REGULATORY SERVICES",'1. ALL DATA'!$M$5:$M$123,"Not yet due")</f>
        <v>1</v>
      </c>
      <c r="J127" s="78">
        <f>I127/I131</f>
        <v>9.0909090909090912E-2</v>
      </c>
      <c r="K127" s="78">
        <f>J127</f>
        <v>9.0909090909090912E-2</v>
      </c>
      <c r="L127" s="79"/>
      <c r="M127" s="47"/>
      <c r="O127" s="48" t="s">
        <v>2</v>
      </c>
      <c r="P127" s="63">
        <f>COUNTIFS('1. ALL DATA'!$Y$5:$Y$123,"REGULATORY SERVICES",'1. ALL DATA'!$R$5:$R$123,"Not yet due")</f>
        <v>0</v>
      </c>
      <c r="Q127" s="78">
        <f>P127/P131</f>
        <v>0</v>
      </c>
      <c r="R127" s="78">
        <f>Q127</f>
        <v>0</v>
      </c>
      <c r="S127" s="79"/>
      <c r="T127" s="99"/>
      <c r="V127" s="63" t="s">
        <v>2</v>
      </c>
      <c r="W127" s="48">
        <f>COUNTIFS('1. ALL DATA'!$Y$5:$Y$123,"REGULATORY SERVICES",'1. ALL DATA'!$V$5:$V$123,"not yet due")</f>
        <v>0</v>
      </c>
      <c r="X127" s="150">
        <f t="shared" si="4"/>
        <v>0</v>
      </c>
      <c r="Y127" s="78">
        <f>X127</f>
        <v>0</v>
      </c>
      <c r="Z127" s="79"/>
      <c r="AA127" s="258"/>
    </row>
    <row r="128" spans="1:27" ht="15.75" customHeight="1">
      <c r="A128" s="48" t="s">
        <v>47</v>
      </c>
      <c r="B128" s="63">
        <f>COUNTIFS('1. ALL DATA'!$Y$5:$Y$123,"REGULATORY SERVICES",'1. ALL DATA'!$H$5:$H$123,"Update not provided")</f>
        <v>0</v>
      </c>
      <c r="C128" s="78">
        <f>B128/B131</f>
        <v>0</v>
      </c>
      <c r="D128" s="78">
        <f>C128</f>
        <v>0</v>
      </c>
      <c r="E128" s="79"/>
      <c r="F128" s="104"/>
      <c r="H128" s="48" t="s">
        <v>47</v>
      </c>
      <c r="I128" s="63">
        <f>COUNTIFS('1. ALL DATA'!$Y$5:$Y$123,"REGULATORY SERVICES",'1. ALL DATA'!$M$5:$M$123,"Update not provided")</f>
        <v>0</v>
      </c>
      <c r="J128" s="78">
        <f>I128/I131</f>
        <v>0</v>
      </c>
      <c r="K128" s="78">
        <f>J128</f>
        <v>0</v>
      </c>
      <c r="L128" s="79"/>
      <c r="M128" s="104"/>
      <c r="O128" s="48" t="s">
        <v>47</v>
      </c>
      <c r="P128" s="63">
        <f>COUNTIFS('1. ALL DATA'!$Y$5:$Y$123,"REGULATORY SERVICES",'1. ALL DATA'!$R$5:$R$123,"Update not provided")</f>
        <v>0</v>
      </c>
      <c r="Q128" s="78">
        <f>P128/P131</f>
        <v>0</v>
      </c>
      <c r="R128" s="78">
        <f>Q128</f>
        <v>0</v>
      </c>
      <c r="S128" s="79"/>
      <c r="T128" s="100"/>
      <c r="V128" s="65" t="s">
        <v>47</v>
      </c>
      <c r="W128" s="48">
        <f>COUNTIFS('1. ALL DATA'!$Y$5:$Y$123,"REGULATORY SERVICES",'1. ALL DATA'!$V$5:$V$123,"Update not provided")</f>
        <v>11</v>
      </c>
      <c r="X128" s="150">
        <f t="shared" si="4"/>
        <v>1</v>
      </c>
      <c r="Y128" s="78">
        <f>X128</f>
        <v>1</v>
      </c>
      <c r="Z128" s="79"/>
    </row>
    <row r="129" spans="1:27" ht="15.75" customHeight="1">
      <c r="A129" s="49" t="s">
        <v>23</v>
      </c>
      <c r="B129" s="63">
        <f>COUNTIFS('1. ALL DATA'!$Y$5:$Y$123,"REGULATORY SERVICES",'1. ALL DATA'!$H$5:$H$123,"Deferred")</f>
        <v>0</v>
      </c>
      <c r="C129" s="81">
        <f>B129/B131</f>
        <v>0</v>
      </c>
      <c r="D129" s="81">
        <f>C129</f>
        <v>0</v>
      </c>
      <c r="E129" s="80"/>
      <c r="F129" s="47"/>
      <c r="H129" s="49" t="s">
        <v>23</v>
      </c>
      <c r="I129" s="63">
        <f>COUNTIFS('1. ALL DATA'!$Y$5:$Y$123,"REGULATORY SERVICES",'1. ALL DATA'!$M$5:$M$123,"Deferred")</f>
        <v>0</v>
      </c>
      <c r="J129" s="81">
        <f>I129/I131</f>
        <v>0</v>
      </c>
      <c r="K129" s="81">
        <f>J129</f>
        <v>0</v>
      </c>
      <c r="L129" s="80"/>
      <c r="M129" s="47"/>
      <c r="O129" s="49" t="s">
        <v>23</v>
      </c>
      <c r="P129" s="63">
        <f>COUNTIFS('1. ALL DATA'!$Y$5:$Y$123,"REGULATORY SERVICES",'1. ALL DATA'!$R$5:$R$123,"Deferred")</f>
        <v>0</v>
      </c>
      <c r="Q129" s="81">
        <f>P129/P131</f>
        <v>0</v>
      </c>
      <c r="R129" s="81">
        <f>Q129</f>
        <v>0</v>
      </c>
      <c r="S129" s="80"/>
      <c r="T129" s="99"/>
      <c r="V129" s="49" t="s">
        <v>23</v>
      </c>
      <c r="W129" s="48">
        <f>COUNTIFS('1. ALL DATA'!$Y$5:$Y$123,"REGULATORY SERVICES",'1. ALL DATA'!$V$5:$V$123,"Deferred")</f>
        <v>0</v>
      </c>
      <c r="X129" s="150">
        <f t="shared" si="4"/>
        <v>0</v>
      </c>
      <c r="Y129" s="81">
        <f>X129</f>
        <v>0</v>
      </c>
      <c r="Z129" s="80"/>
      <c r="AA129" s="258"/>
    </row>
    <row r="130" spans="1:27" ht="15.75" customHeight="1">
      <c r="A130" s="49" t="s">
        <v>29</v>
      </c>
      <c r="B130" s="63">
        <f>COUNTIFS('1. ALL DATA'!$Y$5:$Y$123,"REGULATORY SERVICES",'1. ALL DATA'!$H$5:$H$123,"Deleted")</f>
        <v>0</v>
      </c>
      <c r="C130" s="81">
        <f>B130/B131</f>
        <v>0</v>
      </c>
      <c r="D130" s="81">
        <f>C130</f>
        <v>0</v>
      </c>
      <c r="E130" s="80"/>
      <c r="F130" s="97" t="s">
        <v>63</v>
      </c>
      <c r="H130" s="49" t="s">
        <v>29</v>
      </c>
      <c r="I130" s="63">
        <f>COUNTIFS('1. ALL DATA'!$Y$5:$Y$123,"REGULATORY SERVICES",'1. ALL DATA'!$M$5:$M$123,"Deleted")</f>
        <v>0</v>
      </c>
      <c r="J130" s="81">
        <f>I130/I131</f>
        <v>0</v>
      </c>
      <c r="K130" s="81">
        <f>J130</f>
        <v>0</v>
      </c>
      <c r="L130" s="80"/>
      <c r="M130" s="97" t="s">
        <v>63</v>
      </c>
      <c r="O130" s="49" t="s">
        <v>29</v>
      </c>
      <c r="P130" s="63">
        <f>COUNTIFS('1. ALL DATA'!$Y$5:$Y$123,"REGULATORY SERVICES",'1. ALL DATA'!$R$5:$R$123,"Deleted")</f>
        <v>0</v>
      </c>
      <c r="Q130" s="81">
        <f>P130/P131</f>
        <v>0</v>
      </c>
      <c r="R130" s="81">
        <f>Q130</f>
        <v>0</v>
      </c>
      <c r="S130" s="80"/>
      <c r="T130" s="97" t="s">
        <v>63</v>
      </c>
      <c r="V130" s="49" t="s">
        <v>29</v>
      </c>
      <c r="W130" s="48">
        <f>COUNTIFS('1. ALL DATA'!$Y$5:$Y$123,"REGULATORY SERVICES",'1. ALL DATA'!$V$5:$V$123,"Deleted")</f>
        <v>0</v>
      </c>
      <c r="X130" s="150">
        <f t="shared" si="4"/>
        <v>0</v>
      </c>
      <c r="Y130" s="81">
        <f>X130</f>
        <v>0</v>
      </c>
      <c r="Z130" s="80"/>
      <c r="AA130" s="97" t="s">
        <v>63</v>
      </c>
    </row>
    <row r="131" spans="1:27" ht="15.75" customHeight="1">
      <c r="A131" s="50" t="s">
        <v>31</v>
      </c>
      <c r="B131" s="82">
        <f>SUM(B117:B130)</f>
        <v>11</v>
      </c>
      <c r="C131" s="80"/>
      <c r="D131" s="80"/>
      <c r="E131" s="52"/>
      <c r="F131" s="47"/>
      <c r="H131" s="50" t="s">
        <v>31</v>
      </c>
      <c r="I131" s="82">
        <f>SUM(I117:I130)</f>
        <v>11</v>
      </c>
      <c r="J131" s="80"/>
      <c r="K131" s="80"/>
      <c r="L131" s="52"/>
      <c r="M131" s="47"/>
      <c r="O131" s="50" t="s">
        <v>31</v>
      </c>
      <c r="P131" s="82">
        <f>SUM(P117:P130)</f>
        <v>11</v>
      </c>
      <c r="Q131" s="80"/>
      <c r="R131" s="80"/>
      <c r="S131" s="52"/>
      <c r="T131" s="99"/>
      <c r="V131" s="50" t="s">
        <v>31</v>
      </c>
      <c r="W131" s="87">
        <f>SUM(W117:W130)</f>
        <v>11</v>
      </c>
      <c r="X131" s="80"/>
      <c r="Y131" s="80"/>
      <c r="Z131" s="52"/>
      <c r="AA131" s="258"/>
    </row>
    <row r="132" spans="1:27" ht="15.75" customHeight="1">
      <c r="A132" s="50" t="s">
        <v>32</v>
      </c>
      <c r="B132" s="82">
        <f>B131-B130-B129-B128-B127</f>
        <v>9</v>
      </c>
      <c r="C132" s="52"/>
      <c r="D132" s="52"/>
      <c r="E132" s="52"/>
      <c r="F132" s="47"/>
      <c r="H132" s="50" t="s">
        <v>32</v>
      </c>
      <c r="I132" s="82">
        <f>I131-I130-I129-I128-I127</f>
        <v>10</v>
      </c>
      <c r="J132" s="52"/>
      <c r="K132" s="52"/>
      <c r="L132" s="52"/>
      <c r="M132" s="47"/>
      <c r="O132" s="50" t="s">
        <v>32</v>
      </c>
      <c r="P132" s="82">
        <f>P131-P130-P129-P128-P127</f>
        <v>11</v>
      </c>
      <c r="Q132" s="52"/>
      <c r="R132" s="52"/>
      <c r="S132" s="52"/>
      <c r="T132" s="99"/>
      <c r="V132" s="50" t="s">
        <v>32</v>
      </c>
      <c r="W132" s="87">
        <f>W131-W130-W129-W128-W127</f>
        <v>0</v>
      </c>
      <c r="X132" s="52"/>
      <c r="Y132" s="52"/>
      <c r="Z132" s="52"/>
      <c r="AA132" s="258"/>
    </row>
    <row r="133" spans="1:27" ht="15.75" customHeight="1">
      <c r="A133" s="66"/>
      <c r="B133" s="410"/>
      <c r="C133" s="52"/>
      <c r="D133" s="52"/>
      <c r="E133" s="52"/>
      <c r="F133" s="47"/>
      <c r="H133" s="66"/>
      <c r="I133" s="410"/>
      <c r="J133" s="52"/>
      <c r="K133" s="52"/>
      <c r="L133" s="52"/>
      <c r="M133" s="47"/>
      <c r="O133" s="66"/>
      <c r="P133" s="410"/>
      <c r="Q133" s="52"/>
      <c r="R133" s="52"/>
      <c r="S133" s="52"/>
      <c r="T133" s="99"/>
      <c r="V133" s="66"/>
      <c r="W133" s="411"/>
      <c r="X133" s="52"/>
      <c r="Y133" s="52"/>
      <c r="Z133" s="52"/>
      <c r="AA133" s="258"/>
    </row>
    <row r="134" spans="1:27" ht="15.75" customHeight="1">
      <c r="A134" s="66"/>
      <c r="B134" s="410"/>
      <c r="C134" s="52"/>
      <c r="D134" s="52"/>
      <c r="E134" s="52"/>
      <c r="F134" s="47"/>
      <c r="H134" s="66"/>
      <c r="I134" s="410"/>
      <c r="J134" s="52"/>
      <c r="K134" s="52"/>
      <c r="L134" s="52"/>
      <c r="M134" s="47"/>
      <c r="O134" s="66"/>
      <c r="P134" s="410"/>
      <c r="Q134" s="52"/>
      <c r="R134" s="52"/>
      <c r="S134" s="52"/>
      <c r="T134" s="99"/>
      <c r="V134" s="66"/>
      <c r="W134" s="411"/>
      <c r="X134" s="52"/>
      <c r="Y134" s="52"/>
      <c r="Z134" s="52"/>
      <c r="AA134" s="258"/>
    </row>
    <row r="136" spans="1:27" s="64" customFormat="1" ht="15.75">
      <c r="A136" s="365" t="s">
        <v>278</v>
      </c>
      <c r="B136" s="357"/>
      <c r="C136" s="357"/>
      <c r="D136" s="357"/>
      <c r="E136" s="357"/>
      <c r="F136" s="358"/>
      <c r="H136" s="365" t="s">
        <v>278</v>
      </c>
      <c r="I136" s="357"/>
      <c r="J136" s="357"/>
      <c r="K136" s="357"/>
      <c r="L136" s="357"/>
      <c r="M136" s="358"/>
      <c r="O136" s="365" t="s">
        <v>278</v>
      </c>
      <c r="P136" s="357"/>
      <c r="Q136" s="357"/>
      <c r="R136" s="357"/>
      <c r="S136" s="357"/>
      <c r="T136" s="358"/>
      <c r="V136" s="365" t="s">
        <v>278</v>
      </c>
      <c r="W136" s="357"/>
      <c r="X136" s="357"/>
      <c r="Y136" s="357"/>
      <c r="Z136" s="357"/>
      <c r="AA136" s="358"/>
    </row>
    <row r="137" spans="1:27" ht="41.25" customHeight="1">
      <c r="A137" s="359" t="s">
        <v>24</v>
      </c>
      <c r="B137" s="359" t="s">
        <v>25</v>
      </c>
      <c r="C137" s="359" t="s">
        <v>19</v>
      </c>
      <c r="D137" s="359" t="s">
        <v>49</v>
      </c>
      <c r="E137" s="359" t="s">
        <v>30</v>
      </c>
      <c r="F137" s="360" t="s">
        <v>50</v>
      </c>
      <c r="H137" s="359" t="s">
        <v>24</v>
      </c>
      <c r="I137" s="359" t="s">
        <v>25</v>
      </c>
      <c r="J137" s="359" t="s">
        <v>19</v>
      </c>
      <c r="K137" s="359" t="s">
        <v>49</v>
      </c>
      <c r="L137" s="359" t="s">
        <v>30</v>
      </c>
      <c r="M137" s="360" t="s">
        <v>50</v>
      </c>
      <c r="O137" s="359" t="s">
        <v>24</v>
      </c>
      <c r="P137" s="359" t="s">
        <v>25</v>
      </c>
      <c r="Q137" s="359" t="s">
        <v>19</v>
      </c>
      <c r="R137" s="359" t="s">
        <v>49</v>
      </c>
      <c r="S137" s="359" t="s">
        <v>30</v>
      </c>
      <c r="T137" s="361" t="s">
        <v>50</v>
      </c>
      <c r="V137" s="359" t="s">
        <v>24</v>
      </c>
      <c r="W137" s="359" t="s">
        <v>25</v>
      </c>
      <c r="X137" s="359" t="s">
        <v>19</v>
      </c>
      <c r="Y137" s="359" t="s">
        <v>49</v>
      </c>
      <c r="Z137" s="359" t="s">
        <v>30</v>
      </c>
      <c r="AA137" s="362" t="s">
        <v>50</v>
      </c>
    </row>
    <row r="138" spans="1:27" ht="6.75" customHeight="1">
      <c r="A138" s="53"/>
      <c r="B138" s="53"/>
      <c r="C138" s="53"/>
      <c r="D138" s="53"/>
      <c r="E138" s="53"/>
      <c r="F138" s="56"/>
      <c r="H138" s="53"/>
      <c r="I138" s="53"/>
      <c r="J138" s="53"/>
      <c r="K138" s="53"/>
      <c r="L138" s="53"/>
      <c r="M138" s="56"/>
      <c r="O138" s="53"/>
      <c r="P138" s="53"/>
      <c r="Q138" s="53"/>
      <c r="R138" s="53"/>
      <c r="S138" s="53"/>
      <c r="T138" s="94"/>
      <c r="V138" s="53"/>
      <c r="W138" s="53"/>
      <c r="X138" s="53"/>
      <c r="Y138" s="53"/>
      <c r="Z138" s="53"/>
      <c r="AA138" s="260"/>
    </row>
    <row r="139" spans="1:27" ht="27.75" customHeight="1">
      <c r="A139" s="295" t="s">
        <v>46</v>
      </c>
      <c r="B139" s="72">
        <f>COUNTIFS('1. ALL DATA'!$Y$5:$Y$123,"TOWN CENTRE AND NEIGHBOURHOODS",'1. ALL DATA'!$H$5:$H$123,"Fully Achieved")</f>
        <v>1</v>
      </c>
      <c r="C139" s="405">
        <f>B139/B153</f>
        <v>0.16666666666666666</v>
      </c>
      <c r="D139" s="494">
        <f>C139+C140</f>
        <v>0.66666666666666663</v>
      </c>
      <c r="E139" s="405">
        <f>B139/B154</f>
        <v>0.2</v>
      </c>
      <c r="F139" s="481">
        <f>E139+E140</f>
        <v>0.8</v>
      </c>
      <c r="H139" s="295" t="s">
        <v>46</v>
      </c>
      <c r="I139" s="72">
        <f>COUNTIFS('1. ALL DATA'!$Y$5:$Y$123,"TOWN CENTRE AND NEIGHBOURHOODS",'1. ALL DATA'!$M$5:$M$123,"Fully Achieved")</f>
        <v>1</v>
      </c>
      <c r="J139" s="405">
        <f>I139/I153</f>
        <v>0.16666666666666666</v>
      </c>
      <c r="K139" s="494">
        <f>J139+J140</f>
        <v>0.66666666666666663</v>
      </c>
      <c r="L139" s="405">
        <f>I139/I154</f>
        <v>0.2</v>
      </c>
      <c r="M139" s="481">
        <f>L139+L140</f>
        <v>0.8</v>
      </c>
      <c r="O139" s="295" t="s">
        <v>46</v>
      </c>
      <c r="P139" s="72">
        <f>COUNTIFS('1. ALL DATA'!$Y$5:$Y$123,"TOWN CENTRE AND NEIGHBOURHOODS",'1. ALL DATA'!$R$5:$R$123,"Fully Achieved")</f>
        <v>1</v>
      </c>
      <c r="Q139" s="405">
        <f>P139/P153</f>
        <v>0.16666666666666666</v>
      </c>
      <c r="R139" s="494">
        <f>Q139+Q140</f>
        <v>0.66666666666666663</v>
      </c>
      <c r="S139" s="405">
        <f>P139/P154</f>
        <v>0.2</v>
      </c>
      <c r="T139" s="481">
        <f>S139+S140</f>
        <v>0.8</v>
      </c>
      <c r="V139" s="295" t="s">
        <v>41</v>
      </c>
      <c r="W139" s="406">
        <f>COUNTIFS('1. ALL DATA'!$Y$5:$Y$123,"TOWN CENTRE AND NEIGHBOURHOODS",'1. ALL DATA'!$V$5:$V$123,"Fully Achieved")</f>
        <v>0</v>
      </c>
      <c r="X139" s="405">
        <f>W139/$W$131</f>
        <v>0</v>
      </c>
      <c r="Y139" s="494">
        <f>X139+X140</f>
        <v>0</v>
      </c>
      <c r="Z139" s="405" t="e">
        <f>W139/$W$132</f>
        <v>#DIV/0!</v>
      </c>
      <c r="AA139" s="481" t="e">
        <f>Z139+Z140</f>
        <v>#DIV/0!</v>
      </c>
    </row>
    <row r="140" spans="1:27" ht="27.75" customHeight="1">
      <c r="A140" s="295" t="s">
        <v>42</v>
      </c>
      <c r="B140" s="72">
        <f>COUNTIFS('1. ALL DATA'!$Y$5:$Y$123,"TOWN CENTRE AND NEIGHBOURHOODS",'1. ALL DATA'!$H$5:$H$123,"On track to be achieved")</f>
        <v>3</v>
      </c>
      <c r="C140" s="405">
        <f>B140/B153</f>
        <v>0.5</v>
      </c>
      <c r="D140" s="494"/>
      <c r="E140" s="405">
        <f>B140/B154</f>
        <v>0.6</v>
      </c>
      <c r="F140" s="481"/>
      <c r="H140" s="295" t="s">
        <v>42</v>
      </c>
      <c r="I140" s="72">
        <f>COUNTIFS('1. ALL DATA'!$Y$5:$Y$123,"TOWN CENTRE AND NEIGHBOURHOODS",'1. ALL DATA'!$M$5:$M$123,"On track to be achieved")</f>
        <v>3</v>
      </c>
      <c r="J140" s="405">
        <f>I140/I153</f>
        <v>0.5</v>
      </c>
      <c r="K140" s="494"/>
      <c r="L140" s="405">
        <f>I140/I154</f>
        <v>0.6</v>
      </c>
      <c r="M140" s="481"/>
      <c r="O140" s="295" t="s">
        <v>42</v>
      </c>
      <c r="P140" s="72">
        <f>COUNTIFS('1. ALL DATA'!$Y$5:$Y$123,"TOWN CENTRE AND NEIGHBOURHOODS",'1. ALL DATA'!$R$5:$R$123,"On track to be achieved")</f>
        <v>3</v>
      </c>
      <c r="Q140" s="405">
        <f>P140/P153</f>
        <v>0.5</v>
      </c>
      <c r="R140" s="494"/>
      <c r="S140" s="405">
        <f>P140/P154</f>
        <v>0.6</v>
      </c>
      <c r="T140" s="481"/>
      <c r="V140" s="295" t="s">
        <v>83</v>
      </c>
      <c r="W140" s="406">
        <f>COUNTIFS('1. ALL DATA'!$Y$5:$Y$123,"TOWN CENTRE AND NEIGHBOURHOODS",'1. ALL DATA'!$V$5:$V$123,"Numerical Outturn Within 5% Tolerance")</f>
        <v>0</v>
      </c>
      <c r="X140" s="405">
        <f t="shared" ref="X140" si="6">W140/$W$131</f>
        <v>0</v>
      </c>
      <c r="Y140" s="494"/>
      <c r="Z140" s="405" t="e">
        <f t="shared" ref="Z140" si="7">W140/$W$132</f>
        <v>#DIV/0!</v>
      </c>
      <c r="AA140" s="481"/>
    </row>
    <row r="141" spans="1:27" ht="7.5" customHeight="1">
      <c r="A141" s="184"/>
      <c r="B141" s="73"/>
      <c r="C141" s="74"/>
      <c r="D141" s="74"/>
      <c r="E141" s="74"/>
      <c r="F141" s="186"/>
      <c r="H141" s="184"/>
      <c r="I141" s="73"/>
      <c r="J141" s="74"/>
      <c r="K141" s="74"/>
      <c r="L141" s="74"/>
      <c r="M141" s="186"/>
      <c r="O141" s="184"/>
      <c r="P141" s="73"/>
      <c r="Q141" s="74"/>
      <c r="R141" s="74"/>
      <c r="S141" s="74"/>
      <c r="T141" s="186"/>
      <c r="V141" s="187"/>
      <c r="W141" s="53"/>
      <c r="X141" s="405"/>
      <c r="Y141" s="74"/>
      <c r="Z141" s="405"/>
      <c r="AA141" s="186"/>
    </row>
    <row r="142" spans="1:27" ht="21" customHeight="1">
      <c r="A142" s="476" t="s">
        <v>27</v>
      </c>
      <c r="B142" s="496">
        <f>COUNTIFS('1. ALL DATA'!$Y$5:$Y$123,"TOWN CENTRE AND NEIGHBOURHOODS",'1. ALL DATA'!$H$5:$H$123,"In danger of falling behind target")</f>
        <v>0</v>
      </c>
      <c r="C142" s="494">
        <f>B142/B153</f>
        <v>0</v>
      </c>
      <c r="D142" s="494">
        <f>C142</f>
        <v>0</v>
      </c>
      <c r="E142" s="494">
        <f>B142/B154</f>
        <v>0</v>
      </c>
      <c r="F142" s="479">
        <f>E142</f>
        <v>0</v>
      </c>
      <c r="H142" s="476" t="s">
        <v>27</v>
      </c>
      <c r="I142" s="496">
        <f>COUNTIFS('1. ALL DATA'!$Y$5:$Y$123,"TOWN CENTRE AND NEIGHBOURHOODS",'1. ALL DATA'!$M$5:$M$123,"In danger of falling behind target")</f>
        <v>0</v>
      </c>
      <c r="J142" s="494">
        <f>I142/I153</f>
        <v>0</v>
      </c>
      <c r="K142" s="494">
        <f>J142</f>
        <v>0</v>
      </c>
      <c r="L142" s="494">
        <f>I142/I154</f>
        <v>0</v>
      </c>
      <c r="M142" s="479">
        <f>L142</f>
        <v>0</v>
      </c>
      <c r="O142" s="476" t="s">
        <v>27</v>
      </c>
      <c r="P142" s="496">
        <f>COUNTIFS('1. ALL DATA'!$Y$5:$Y$123,"TOWN CENTRE AND NEIGHBOURHOODS",'1. ALL DATA'!$R$5:$R$123,"In danger of falling behind target")</f>
        <v>0</v>
      </c>
      <c r="Q142" s="494">
        <f>P142/P153</f>
        <v>0</v>
      </c>
      <c r="R142" s="494">
        <f>Q142</f>
        <v>0</v>
      </c>
      <c r="S142" s="494">
        <f>P142/P154</f>
        <v>0</v>
      </c>
      <c r="T142" s="479">
        <f>S142</f>
        <v>0</v>
      </c>
      <c r="V142" s="404" t="s">
        <v>84</v>
      </c>
      <c r="W142" s="406">
        <f>COUNTIFS('1. ALL DATA'!$Y$5:$Y$123,"TOWN CENTRE AND NEIGHBOURHOODS",'1. ALL DATA'!$V$5:$V$123,"Numerical Outturn Within 10% Tolerance")</f>
        <v>0</v>
      </c>
      <c r="X142" s="405">
        <f t="shared" ref="X142:X144" si="8">W142/$W$131</f>
        <v>0</v>
      </c>
      <c r="Y142" s="497">
        <f>SUM(X142:X145)</f>
        <v>0</v>
      </c>
      <c r="Z142" s="405" t="e">
        <f t="shared" ref="Z142:Z144" si="9">W142/$W$132</f>
        <v>#DIV/0!</v>
      </c>
      <c r="AA142" s="479" t="e">
        <f>SUM(Z142:Z145)</f>
        <v>#DIV/0!</v>
      </c>
    </row>
    <row r="143" spans="1:27" ht="18.75" customHeight="1">
      <c r="A143" s="476"/>
      <c r="B143" s="496"/>
      <c r="C143" s="494"/>
      <c r="D143" s="494"/>
      <c r="E143" s="494"/>
      <c r="F143" s="479"/>
      <c r="H143" s="476"/>
      <c r="I143" s="496"/>
      <c r="J143" s="494"/>
      <c r="K143" s="494"/>
      <c r="L143" s="494"/>
      <c r="M143" s="479"/>
      <c r="O143" s="476"/>
      <c r="P143" s="496"/>
      <c r="Q143" s="494"/>
      <c r="R143" s="494"/>
      <c r="S143" s="494"/>
      <c r="T143" s="479"/>
      <c r="V143" s="404" t="s">
        <v>85</v>
      </c>
      <c r="W143" s="406">
        <f>COUNTIFS('1. ALL DATA'!$Y$5:$Y$123,"TOWN CENTRE AND NEIGHBOURHOODS",'1. ALL DATA'!$V$5:$V$123,"Target Partially Met")</f>
        <v>0</v>
      </c>
      <c r="X143" s="405">
        <f t="shared" si="8"/>
        <v>0</v>
      </c>
      <c r="Y143" s="498"/>
      <c r="Z143" s="405" t="e">
        <f t="shared" si="9"/>
        <v>#DIV/0!</v>
      </c>
      <c r="AA143" s="479"/>
    </row>
    <row r="144" spans="1:27" ht="20.25" customHeight="1">
      <c r="A144" s="476"/>
      <c r="B144" s="496"/>
      <c r="C144" s="494"/>
      <c r="D144" s="494"/>
      <c r="E144" s="494"/>
      <c r="F144" s="479"/>
      <c r="H144" s="476"/>
      <c r="I144" s="496"/>
      <c r="J144" s="494"/>
      <c r="K144" s="494"/>
      <c r="L144" s="494"/>
      <c r="M144" s="479"/>
      <c r="O144" s="476"/>
      <c r="P144" s="496"/>
      <c r="Q144" s="494"/>
      <c r="R144" s="494"/>
      <c r="S144" s="494"/>
      <c r="T144" s="479"/>
      <c r="V144" s="404" t="s">
        <v>87</v>
      </c>
      <c r="W144" s="406">
        <f>COUNTIFS('1. ALL DATA'!$Y$5:$Y$123,"TOWN CENTRE AND NEIGHBOURHOODS",'1. ALL DATA'!$V$5:$V$123,"Completion Date Within Reasonable Tolerance")</f>
        <v>0</v>
      </c>
      <c r="X144" s="405">
        <f t="shared" si="8"/>
        <v>0</v>
      </c>
      <c r="Y144" s="499"/>
      <c r="Z144" s="405" t="e">
        <f t="shared" si="9"/>
        <v>#DIV/0!</v>
      </c>
      <c r="AA144" s="479"/>
    </row>
    <row r="145" spans="1:27" ht="6" customHeight="1">
      <c r="A145" s="184"/>
      <c r="B145" s="53"/>
      <c r="C145" s="74"/>
      <c r="D145" s="74"/>
      <c r="E145" s="74"/>
      <c r="F145" s="186"/>
      <c r="H145" s="184"/>
      <c r="I145" s="53"/>
      <c r="J145" s="74"/>
      <c r="K145" s="74"/>
      <c r="L145" s="74"/>
      <c r="M145" s="186"/>
      <c r="O145" s="184"/>
      <c r="P145" s="53"/>
      <c r="Q145" s="74"/>
      <c r="R145" s="74"/>
      <c r="S145" s="74"/>
      <c r="T145" s="186"/>
      <c r="V145" s="187"/>
      <c r="W145" s="53"/>
      <c r="X145" s="405"/>
      <c r="Y145" s="74"/>
      <c r="Z145" s="405"/>
      <c r="AA145" s="186"/>
    </row>
    <row r="146" spans="1:27" ht="30" customHeight="1">
      <c r="A146" s="296" t="s">
        <v>43</v>
      </c>
      <c r="B146" s="72">
        <f>COUNTIFS('1. ALL DATA'!$Y$5:$Y$123,"TOWN CENTRE AND NEIGHBOURHOODS",'1. ALL DATA'!$H$5:$H$123,"Completed behind schedule")</f>
        <v>1</v>
      </c>
      <c r="C146" s="405">
        <f>B146/B153</f>
        <v>0.16666666666666666</v>
      </c>
      <c r="D146" s="494">
        <f>C146+C147</f>
        <v>0.16666666666666666</v>
      </c>
      <c r="E146" s="405">
        <f>B146/B154</f>
        <v>0.2</v>
      </c>
      <c r="F146" s="495">
        <f>E146+E147</f>
        <v>0.2</v>
      </c>
      <c r="H146" s="296" t="s">
        <v>43</v>
      </c>
      <c r="I146" s="72">
        <f>COUNTIFS('1. ALL DATA'!$Y$5:$Y$123,"TOWN CENTRE AND NEIGHBOURHOODS",'1. ALL DATA'!$M$5:$M$123,"Completed behind schedule")</f>
        <v>1</v>
      </c>
      <c r="J146" s="405">
        <f>I146/I153</f>
        <v>0.16666666666666666</v>
      </c>
      <c r="K146" s="494">
        <f>J146+J147</f>
        <v>0.16666666666666666</v>
      </c>
      <c r="L146" s="405">
        <f>I146/I154</f>
        <v>0.2</v>
      </c>
      <c r="M146" s="495">
        <f>L146+L147</f>
        <v>0.2</v>
      </c>
      <c r="O146" s="296" t="s">
        <v>43</v>
      </c>
      <c r="P146" s="72">
        <f>COUNTIFS('1. ALL DATA'!$Y$5:$Y$123,"TOWN CENTRE AND NEIGHBOURHOODS",'1. ALL DATA'!$R$5:$R$123,"Completed behind schedule")</f>
        <v>1</v>
      </c>
      <c r="Q146" s="405">
        <f>P146/P153</f>
        <v>0.16666666666666666</v>
      </c>
      <c r="R146" s="494">
        <f>Q146+Q147</f>
        <v>0.16666666666666666</v>
      </c>
      <c r="S146" s="405">
        <f>P146/P154</f>
        <v>0.2</v>
      </c>
      <c r="T146" s="495">
        <f>S146+S147</f>
        <v>0.2</v>
      </c>
      <c r="V146" s="296" t="s">
        <v>86</v>
      </c>
      <c r="W146" s="406">
        <f>COUNTIFS('1. ALL DATA'!$Y$5:$Y$123,"TOWN CENTRE AND NEIGHBOURHOODS",'1. ALL DATA'!$V$5:$V$123,"Completed Significantly After Target Deadline")</f>
        <v>0</v>
      </c>
      <c r="X146" s="405">
        <f t="shared" ref="X146:X147" si="10">W146/$W$131</f>
        <v>0</v>
      </c>
      <c r="Y146" s="494">
        <f>X146+X147</f>
        <v>0</v>
      </c>
      <c r="Z146" s="405" t="e">
        <f t="shared" ref="Z146:Z147" si="11">W146/$W$132</f>
        <v>#DIV/0!</v>
      </c>
      <c r="AA146" s="495" t="e">
        <f>Z146+Z147</f>
        <v>#DIV/0!</v>
      </c>
    </row>
    <row r="147" spans="1:27" ht="30" customHeight="1">
      <c r="A147" s="296" t="s">
        <v>28</v>
      </c>
      <c r="B147" s="72">
        <f>COUNTIFS('1. ALL DATA'!$Y$5:$Y$123,"TOWN CENTRE AND NEIGHBOURHOODS",'1. ALL DATA'!$H$5:$H$123,"Off target")</f>
        <v>0</v>
      </c>
      <c r="C147" s="405">
        <f>B147/B153</f>
        <v>0</v>
      </c>
      <c r="D147" s="494"/>
      <c r="E147" s="405">
        <f>B147/B154</f>
        <v>0</v>
      </c>
      <c r="F147" s="495"/>
      <c r="H147" s="296" t="s">
        <v>28</v>
      </c>
      <c r="I147" s="72">
        <f>COUNTIFS('1. ALL DATA'!$Y$5:$Y$123,"TOWN CENTRE AND NEIGHBOURHOODS",'1. ALL DATA'!$M$5:$M$123,"Off target")</f>
        <v>0</v>
      </c>
      <c r="J147" s="405">
        <f>I147/I153</f>
        <v>0</v>
      </c>
      <c r="K147" s="494"/>
      <c r="L147" s="405">
        <f>I147/I154</f>
        <v>0</v>
      </c>
      <c r="M147" s="495"/>
      <c r="O147" s="296" t="s">
        <v>28</v>
      </c>
      <c r="P147" s="72">
        <f>COUNTIFS('1. ALL DATA'!$Y$5:$Y$123,"TOWN CENTRE AND NEIGHBOURHOODS",'1. ALL DATA'!$R$5:$R$123,"Off target")</f>
        <v>0</v>
      </c>
      <c r="Q147" s="405">
        <f>P147/P153</f>
        <v>0</v>
      </c>
      <c r="R147" s="494"/>
      <c r="S147" s="405">
        <f>P147/P154</f>
        <v>0</v>
      </c>
      <c r="T147" s="495"/>
      <c r="V147" s="296" t="s">
        <v>28</v>
      </c>
      <c r="W147" s="406">
        <f>COUNTIFS('1. ALL DATA'!$Y$5:$Y$123,"TOWN CENTRE AND NEIGHBOURHOODS",'1. ALL DATA'!$V$5:$V$123,"Off Target")</f>
        <v>0</v>
      </c>
      <c r="X147" s="405">
        <f t="shared" si="10"/>
        <v>0</v>
      </c>
      <c r="Y147" s="494"/>
      <c r="Z147" s="405" t="e">
        <f t="shared" si="11"/>
        <v>#DIV/0!</v>
      </c>
      <c r="AA147" s="495"/>
    </row>
    <row r="148" spans="1:27" ht="5.25" customHeight="1">
      <c r="A148" s="53"/>
      <c r="B148" s="73"/>
      <c r="C148" s="74"/>
      <c r="D148" s="74"/>
      <c r="E148" s="74"/>
      <c r="F148" s="98"/>
      <c r="H148" s="53"/>
      <c r="I148" s="73"/>
      <c r="J148" s="74"/>
      <c r="K148" s="74"/>
      <c r="L148" s="74"/>
      <c r="M148" s="98"/>
      <c r="O148" s="53"/>
      <c r="P148" s="73"/>
      <c r="Q148" s="74"/>
      <c r="R148" s="74"/>
      <c r="S148" s="74"/>
      <c r="T148" s="98"/>
      <c r="V148" s="298"/>
      <c r="W148" s="57"/>
      <c r="X148" s="405"/>
      <c r="Y148" s="76"/>
      <c r="Z148" s="77"/>
      <c r="AA148" s="261"/>
    </row>
    <row r="149" spans="1:27" ht="15.75" customHeight="1">
      <c r="A149" s="407" t="s">
        <v>2</v>
      </c>
      <c r="B149" s="63">
        <f>COUNTIFS('1. ALL DATA'!$Y$5:$Y$123,"TOWN CENTRE AND NEIGHBOURHOODS",'1. ALL DATA'!$H$5:$H$123,"Not yet due")</f>
        <v>1</v>
      </c>
      <c r="C149" s="78">
        <f>B149/B153</f>
        <v>0.16666666666666666</v>
      </c>
      <c r="D149" s="78">
        <f>C149</f>
        <v>0.16666666666666666</v>
      </c>
      <c r="E149" s="79"/>
      <c r="F149" s="47"/>
      <c r="H149" s="407" t="s">
        <v>2</v>
      </c>
      <c r="I149" s="63">
        <f>COUNTIFS('1. ALL DATA'!$Y$5:$Y$123,"TOWN CENTRE AND NEIGHBOURHOODS",'1. ALL DATA'!$M$5:$M$123,"Not yet due")</f>
        <v>1</v>
      </c>
      <c r="J149" s="78">
        <f>I149/I153</f>
        <v>0.16666666666666666</v>
      </c>
      <c r="K149" s="78">
        <f>J149</f>
        <v>0.16666666666666666</v>
      </c>
      <c r="L149" s="79"/>
      <c r="M149" s="47"/>
      <c r="O149" s="407" t="s">
        <v>2</v>
      </c>
      <c r="P149" s="63">
        <f>COUNTIFS('1. ALL DATA'!$Y$5:$Y$123,"TOWN CENTRE AND NEIGHBOURHOODS",'1. ALL DATA'!$R$5:$R$123,"Not yet due")</f>
        <v>1</v>
      </c>
      <c r="Q149" s="78">
        <f>P149/P153</f>
        <v>0.16666666666666666</v>
      </c>
      <c r="R149" s="78">
        <f>Q149</f>
        <v>0.16666666666666666</v>
      </c>
      <c r="S149" s="79"/>
      <c r="T149" s="99"/>
      <c r="V149" s="63" t="s">
        <v>2</v>
      </c>
      <c r="W149" s="407">
        <f>COUNTIFS('1. ALL DATA'!$Y$5:$Y$123,"TOWN CENTRE AND NEIGHBOURHOODS",'1. ALL DATA'!$V$5:$V$123,"not yet due")</f>
        <v>0</v>
      </c>
      <c r="X149" s="405">
        <f t="shared" ref="X149:X152" si="12">W149/$W$131</f>
        <v>0</v>
      </c>
      <c r="Y149" s="78">
        <f>X149</f>
        <v>0</v>
      </c>
      <c r="Z149" s="79"/>
      <c r="AA149" s="258"/>
    </row>
    <row r="150" spans="1:27" ht="15.75" customHeight="1">
      <c r="A150" s="407" t="s">
        <v>47</v>
      </c>
      <c r="B150" s="63">
        <f>COUNTIFS('1. ALL DATA'!$Y$5:$Y$123,"TOWN CENTRE AND NEIGHBOURHOODS",'1. ALL DATA'!$H$5:$H$123,"Update not provided")</f>
        <v>0</v>
      </c>
      <c r="C150" s="78">
        <f>B150/B153</f>
        <v>0</v>
      </c>
      <c r="D150" s="78">
        <f>C150</f>
        <v>0</v>
      </c>
      <c r="E150" s="79"/>
      <c r="F150" s="104"/>
      <c r="H150" s="407" t="s">
        <v>47</v>
      </c>
      <c r="I150" s="63">
        <f>COUNTIFS('1. ALL DATA'!$Y$5:$Y$123,"TOWN CENTRE AND NEIGHBOURHOODS",'1. ALL DATA'!$M$5:$M$123,"Update not provided")</f>
        <v>0</v>
      </c>
      <c r="J150" s="78">
        <f>I150/I153</f>
        <v>0</v>
      </c>
      <c r="K150" s="78">
        <f>J150</f>
        <v>0</v>
      </c>
      <c r="L150" s="79"/>
      <c r="M150" s="104"/>
      <c r="O150" s="407" t="s">
        <v>47</v>
      </c>
      <c r="P150" s="63">
        <f>COUNTIFS('1. ALL DATA'!$Y$5:$Y$123,"TOWN CENTRE AND NEIGHBOURHOODS",'1. ALL DATA'!$R$5:$R$123,"Update not provided")</f>
        <v>0</v>
      </c>
      <c r="Q150" s="78">
        <f>P150/P153</f>
        <v>0</v>
      </c>
      <c r="R150" s="78">
        <f>Q150</f>
        <v>0</v>
      </c>
      <c r="S150" s="79"/>
      <c r="T150" s="100"/>
      <c r="V150" s="65" t="s">
        <v>47</v>
      </c>
      <c r="W150" s="407">
        <f>COUNTIFS('1. ALL DATA'!$Y$5:$Y$123,"TOWN CENTRE AND NEIGHBOURHOODS",'1. ALL DATA'!$V$5:$V$123,"Update not provided")</f>
        <v>6</v>
      </c>
      <c r="X150" s="405">
        <f t="shared" si="12"/>
        <v>0.54545454545454541</v>
      </c>
      <c r="Y150" s="78">
        <f>X150</f>
        <v>0.54545454545454541</v>
      </c>
      <c r="Z150" s="79"/>
    </row>
    <row r="151" spans="1:27" ht="15.75" customHeight="1">
      <c r="A151" s="49" t="s">
        <v>23</v>
      </c>
      <c r="B151" s="63">
        <f>COUNTIFS('1. ALL DATA'!$Y$5:$Y$123,"TOWN CENTRE AND NEIGHBOURHOODS",'1. ALL DATA'!$H$5:$H$123,"Deferred")</f>
        <v>0</v>
      </c>
      <c r="C151" s="81">
        <f>B151/B153</f>
        <v>0</v>
      </c>
      <c r="D151" s="81">
        <f>C151</f>
        <v>0</v>
      </c>
      <c r="E151" s="80"/>
      <c r="F151" s="47"/>
      <c r="H151" s="49" t="s">
        <v>23</v>
      </c>
      <c r="I151" s="63">
        <f>COUNTIFS('1. ALL DATA'!$Y$5:$Y$123,"TOWN CENTRE AND NEIGHBOURHOODS",'1. ALL DATA'!$M$5:$M$123,"Deferred")</f>
        <v>0</v>
      </c>
      <c r="J151" s="81">
        <f>I151/I153</f>
        <v>0</v>
      </c>
      <c r="K151" s="81">
        <f>J151</f>
        <v>0</v>
      </c>
      <c r="L151" s="80"/>
      <c r="M151" s="47"/>
      <c r="O151" s="49" t="s">
        <v>23</v>
      </c>
      <c r="P151" s="63">
        <f>COUNTIFS('1. ALL DATA'!$Y$5:$Y$123,"TOWN CENTRE AND NEIGHBOURHOODS",'1. ALL DATA'!$R$5:$R$123,"Deferred")</f>
        <v>0</v>
      </c>
      <c r="Q151" s="81">
        <f>P151/P153</f>
        <v>0</v>
      </c>
      <c r="R151" s="81">
        <f>Q151</f>
        <v>0</v>
      </c>
      <c r="S151" s="80"/>
      <c r="T151" s="99"/>
      <c r="V151" s="49" t="s">
        <v>23</v>
      </c>
      <c r="W151" s="407">
        <f>COUNTIFS('1. ALL DATA'!$Y$5:$Y$123,"TOWN CENTRE AND NEIGHBOURHOODS",'1. ALL DATA'!$V$5:$V$123,"Deferred")</f>
        <v>0</v>
      </c>
      <c r="X151" s="405">
        <f t="shared" si="12"/>
        <v>0</v>
      </c>
      <c r="Y151" s="81">
        <f>X151</f>
        <v>0</v>
      </c>
      <c r="Z151" s="80"/>
      <c r="AA151" s="258"/>
    </row>
    <row r="152" spans="1:27" ht="15.75" customHeight="1">
      <c r="A152" s="49" t="s">
        <v>29</v>
      </c>
      <c r="B152" s="63">
        <f>COUNTIFS('1. ALL DATA'!$Y$5:$Y$123,"TOWN CENTRE AND NEIGHBOURHOODS",'1. ALL DATA'!$H$5:$H$123,"Deleted")</f>
        <v>0</v>
      </c>
      <c r="C152" s="81">
        <f>B152/B153</f>
        <v>0</v>
      </c>
      <c r="D152" s="81">
        <f>C152</f>
        <v>0</v>
      </c>
      <c r="E152" s="80"/>
      <c r="F152" s="97" t="s">
        <v>63</v>
      </c>
      <c r="H152" s="49" t="s">
        <v>29</v>
      </c>
      <c r="I152" s="63">
        <f>COUNTIFS('1. ALL DATA'!$Y$5:$Y$123,"TOWN CENTRE AND NEIGHBOURHOODS",'1. ALL DATA'!$M$5:$M$123,"Deleted")</f>
        <v>0</v>
      </c>
      <c r="J152" s="81">
        <f>I152/I153</f>
        <v>0</v>
      </c>
      <c r="K152" s="81">
        <f>J152</f>
        <v>0</v>
      </c>
      <c r="L152" s="80"/>
      <c r="M152" s="97" t="s">
        <v>63</v>
      </c>
      <c r="O152" s="49" t="s">
        <v>29</v>
      </c>
      <c r="P152" s="63">
        <f>COUNTIFS('1. ALL DATA'!$Y$5:$Y$123,"TOWN CENTRE AND NEIGHBOURHOODS",'1. ALL DATA'!$R$5:$R$123,"Deleted")</f>
        <v>0</v>
      </c>
      <c r="Q152" s="81">
        <f>P152/P153</f>
        <v>0</v>
      </c>
      <c r="R152" s="81">
        <f>Q152</f>
        <v>0</v>
      </c>
      <c r="S152" s="80"/>
      <c r="T152" s="97" t="s">
        <v>63</v>
      </c>
      <c r="V152" s="49" t="s">
        <v>29</v>
      </c>
      <c r="W152" s="407">
        <f>COUNTIFS('1. ALL DATA'!$Y$5:$Y$123,"TOWN CENTRE AND NEIGHBOURHOODS",'1. ALL DATA'!$V$5:$V$123,"Deleted")</f>
        <v>0</v>
      </c>
      <c r="X152" s="405">
        <f t="shared" si="12"/>
        <v>0</v>
      </c>
      <c r="Y152" s="81">
        <f>X152</f>
        <v>0</v>
      </c>
      <c r="Z152" s="80"/>
      <c r="AA152" s="97" t="s">
        <v>63</v>
      </c>
    </row>
    <row r="153" spans="1:27" ht="15.75" customHeight="1">
      <c r="A153" s="50" t="s">
        <v>31</v>
      </c>
      <c r="B153" s="82">
        <f>SUM(B139:B152)</f>
        <v>6</v>
      </c>
      <c r="C153" s="80"/>
      <c r="D153" s="80"/>
      <c r="E153" s="52"/>
      <c r="F153" s="47"/>
      <c r="H153" s="50" t="s">
        <v>31</v>
      </c>
      <c r="I153" s="82">
        <f>SUM(I139:I152)</f>
        <v>6</v>
      </c>
      <c r="J153" s="80"/>
      <c r="K153" s="80"/>
      <c r="L153" s="52"/>
      <c r="M153" s="47"/>
      <c r="O153" s="50" t="s">
        <v>31</v>
      </c>
      <c r="P153" s="82">
        <f>SUM(P139:P152)</f>
        <v>6</v>
      </c>
      <c r="Q153" s="80"/>
      <c r="R153" s="80"/>
      <c r="S153" s="52"/>
      <c r="T153" s="99"/>
      <c r="V153" s="50" t="s">
        <v>31</v>
      </c>
      <c r="W153" s="87">
        <f>SUM(W139:W152)</f>
        <v>6</v>
      </c>
      <c r="X153" s="80"/>
      <c r="Y153" s="80"/>
      <c r="Z153" s="52"/>
      <c r="AA153" s="258"/>
    </row>
    <row r="154" spans="1:27" ht="15.75" customHeight="1">
      <c r="A154" s="50" t="s">
        <v>32</v>
      </c>
      <c r="B154" s="82">
        <f>B153-B152-B151-B150-B149</f>
        <v>5</v>
      </c>
      <c r="C154" s="52"/>
      <c r="D154" s="52"/>
      <c r="E154" s="52"/>
      <c r="F154" s="47"/>
      <c r="H154" s="50" t="s">
        <v>32</v>
      </c>
      <c r="I154" s="82">
        <f>I153-I152-I151-I150-I149</f>
        <v>5</v>
      </c>
      <c r="J154" s="52"/>
      <c r="K154" s="52"/>
      <c r="L154" s="52"/>
      <c r="M154" s="47"/>
      <c r="O154" s="50" t="s">
        <v>32</v>
      </c>
      <c r="P154" s="82">
        <f>P153-P152-P151-P150-P149</f>
        <v>5</v>
      </c>
      <c r="Q154" s="52"/>
      <c r="R154" s="52"/>
      <c r="S154" s="52"/>
      <c r="T154" s="99"/>
      <c r="V154" s="50" t="s">
        <v>32</v>
      </c>
      <c r="W154" s="87">
        <f>W153-W152-W151-W150-W149</f>
        <v>0</v>
      </c>
      <c r="X154" s="52"/>
      <c r="Y154" s="52"/>
      <c r="Z154" s="52"/>
      <c r="AA154" s="258"/>
    </row>
  </sheetData>
  <mergeCells count="252">
    <mergeCell ref="S142:S144"/>
    <mergeCell ref="T142:T144"/>
    <mergeCell ref="Y142:Y144"/>
    <mergeCell ref="AA142:AA144"/>
    <mergeCell ref="D146:D147"/>
    <mergeCell ref="F146:F147"/>
    <mergeCell ref="K146:K147"/>
    <mergeCell ref="M146:M147"/>
    <mergeCell ref="R146:R147"/>
    <mergeCell ref="T146:T147"/>
    <mergeCell ref="Y146:Y147"/>
    <mergeCell ref="AA146:AA147"/>
    <mergeCell ref="D139:D140"/>
    <mergeCell ref="F139:F140"/>
    <mergeCell ref="K139:K140"/>
    <mergeCell ref="M139:M140"/>
    <mergeCell ref="R139:R140"/>
    <mergeCell ref="T139:T140"/>
    <mergeCell ref="Y139:Y140"/>
    <mergeCell ref="AA139:AA140"/>
    <mergeCell ref="A142:A144"/>
    <mergeCell ref="B142:B144"/>
    <mergeCell ref="C142:C144"/>
    <mergeCell ref="D142:D144"/>
    <mergeCell ref="E142:E144"/>
    <mergeCell ref="F142:F144"/>
    <mergeCell ref="H142:H144"/>
    <mergeCell ref="I142:I144"/>
    <mergeCell ref="J142:J144"/>
    <mergeCell ref="K142:K144"/>
    <mergeCell ref="L142:L144"/>
    <mergeCell ref="M142:M144"/>
    <mergeCell ref="O142:O144"/>
    <mergeCell ref="P142:P144"/>
    <mergeCell ref="Q142:Q144"/>
    <mergeCell ref="R142:R144"/>
    <mergeCell ref="Y124:Y125"/>
    <mergeCell ref="AA124:AA125"/>
    <mergeCell ref="D6:D7"/>
    <mergeCell ref="F6:F7"/>
    <mergeCell ref="K6:K7"/>
    <mergeCell ref="M6:M7"/>
    <mergeCell ref="R6:R7"/>
    <mergeCell ref="D124:D125"/>
    <mergeCell ref="F124:F125"/>
    <mergeCell ref="K124:K125"/>
    <mergeCell ref="M124:M125"/>
    <mergeCell ref="F9:F11"/>
    <mergeCell ref="H9:H11"/>
    <mergeCell ref="I9:I11"/>
    <mergeCell ref="J9:J11"/>
    <mergeCell ref="K9:K11"/>
    <mergeCell ref="L9:L11"/>
    <mergeCell ref="T6:T7"/>
    <mergeCell ref="Y6:Y7"/>
    <mergeCell ref="S9:S11"/>
    <mergeCell ref="T9:T11"/>
    <mergeCell ref="Y9:Y11"/>
    <mergeCell ref="K13:K14"/>
    <mergeCell ref="M13:M14"/>
    <mergeCell ref="Y120:Y122"/>
    <mergeCell ref="AA120:AA122"/>
    <mergeCell ref="AA6:AA7"/>
    <mergeCell ref="AA9:AA11"/>
    <mergeCell ref="Y102:Y103"/>
    <mergeCell ref="A9:A11"/>
    <mergeCell ref="B9:B11"/>
    <mergeCell ref="C9:C11"/>
    <mergeCell ref="D9:D11"/>
    <mergeCell ref="E9:E11"/>
    <mergeCell ref="M9:M11"/>
    <mergeCell ref="O9:O11"/>
    <mergeCell ref="P9:P11"/>
    <mergeCell ref="Q9:Q11"/>
    <mergeCell ref="R9:R11"/>
    <mergeCell ref="R13:R14"/>
    <mergeCell ref="T13:T14"/>
    <mergeCell ref="Y13:Y14"/>
    <mergeCell ref="AA13:AA14"/>
    <mergeCell ref="Q120:Q122"/>
    <mergeCell ref="F120:F122"/>
    <mergeCell ref="H120:H122"/>
    <mergeCell ref="I120:I122"/>
    <mergeCell ref="J120:J122"/>
    <mergeCell ref="K120:K122"/>
    <mergeCell ref="R124:R125"/>
    <mergeCell ref="T124:T125"/>
    <mergeCell ref="R120:R122"/>
    <mergeCell ref="S120:S122"/>
    <mergeCell ref="T120:T122"/>
    <mergeCell ref="A120:A122"/>
    <mergeCell ref="B120:B122"/>
    <mergeCell ref="C120:C122"/>
    <mergeCell ref="D120:D122"/>
    <mergeCell ref="E120:E122"/>
    <mergeCell ref="L120:L122"/>
    <mergeCell ref="M120:M122"/>
    <mergeCell ref="O120:O122"/>
    <mergeCell ref="P120:P122"/>
    <mergeCell ref="AA102:AA103"/>
    <mergeCell ref="D117:D118"/>
    <mergeCell ref="F117:F118"/>
    <mergeCell ref="K117:K118"/>
    <mergeCell ref="M117:M118"/>
    <mergeCell ref="R117:R118"/>
    <mergeCell ref="T117:T118"/>
    <mergeCell ref="Y117:Y118"/>
    <mergeCell ref="AA117:AA118"/>
    <mergeCell ref="D102:D103"/>
    <mergeCell ref="F102:F103"/>
    <mergeCell ref="K102:K103"/>
    <mergeCell ref="M102:M103"/>
    <mergeCell ref="R102:R103"/>
    <mergeCell ref="T102:T103"/>
    <mergeCell ref="R98:R100"/>
    <mergeCell ref="S98:S100"/>
    <mergeCell ref="T98:T100"/>
    <mergeCell ref="L98:L100"/>
    <mergeCell ref="M98:M100"/>
    <mergeCell ref="O98:O100"/>
    <mergeCell ref="P98:P100"/>
    <mergeCell ref="Q98:Q100"/>
    <mergeCell ref="F98:F100"/>
    <mergeCell ref="A98:A100"/>
    <mergeCell ref="B98:B100"/>
    <mergeCell ref="C98:C100"/>
    <mergeCell ref="D98:D100"/>
    <mergeCell ref="E98:E100"/>
    <mergeCell ref="Y80:Y81"/>
    <mergeCell ref="AA80:AA81"/>
    <mergeCell ref="D95:D96"/>
    <mergeCell ref="F95:F96"/>
    <mergeCell ref="K95:K96"/>
    <mergeCell ref="M95:M96"/>
    <mergeCell ref="R95:R96"/>
    <mergeCell ref="H98:H100"/>
    <mergeCell ref="I98:I100"/>
    <mergeCell ref="J98:J100"/>
    <mergeCell ref="K98:K100"/>
    <mergeCell ref="T95:T96"/>
    <mergeCell ref="Y95:Y96"/>
    <mergeCell ref="AA95:AA96"/>
    <mergeCell ref="AA98:AA100"/>
    <mergeCell ref="Y98:Y100"/>
    <mergeCell ref="D80:D81"/>
    <mergeCell ref="F80:F81"/>
    <mergeCell ref="K80:K81"/>
    <mergeCell ref="M80:M81"/>
    <mergeCell ref="R80:R81"/>
    <mergeCell ref="T80:T81"/>
    <mergeCell ref="R76:R78"/>
    <mergeCell ref="S76:S78"/>
    <mergeCell ref="T76:T78"/>
    <mergeCell ref="L76:L78"/>
    <mergeCell ref="M76:M78"/>
    <mergeCell ref="O76:O78"/>
    <mergeCell ref="P76:P78"/>
    <mergeCell ref="Q76:Q78"/>
    <mergeCell ref="F76:F78"/>
    <mergeCell ref="A76:A78"/>
    <mergeCell ref="B76:B78"/>
    <mergeCell ref="C76:C78"/>
    <mergeCell ref="D76:D78"/>
    <mergeCell ref="E76:E78"/>
    <mergeCell ref="Y58:Y59"/>
    <mergeCell ref="AA58:AA59"/>
    <mergeCell ref="D73:D74"/>
    <mergeCell ref="F73:F74"/>
    <mergeCell ref="K73:K74"/>
    <mergeCell ref="M73:M74"/>
    <mergeCell ref="R73:R74"/>
    <mergeCell ref="H76:H78"/>
    <mergeCell ref="I76:I78"/>
    <mergeCell ref="J76:J78"/>
    <mergeCell ref="K76:K78"/>
    <mergeCell ref="T73:T74"/>
    <mergeCell ref="Y73:Y74"/>
    <mergeCell ref="AA73:AA74"/>
    <mergeCell ref="AA76:AA78"/>
    <mergeCell ref="Y76:Y78"/>
    <mergeCell ref="D58:D59"/>
    <mergeCell ref="F58:F59"/>
    <mergeCell ref="K58:K59"/>
    <mergeCell ref="M58:M59"/>
    <mergeCell ref="R58:R59"/>
    <mergeCell ref="T58:T59"/>
    <mergeCell ref="R54:R56"/>
    <mergeCell ref="S54:S56"/>
    <mergeCell ref="T54:T56"/>
    <mergeCell ref="L54:L56"/>
    <mergeCell ref="M54:M56"/>
    <mergeCell ref="O54:O56"/>
    <mergeCell ref="P54:P56"/>
    <mergeCell ref="Q54:Q56"/>
    <mergeCell ref="F54:F56"/>
    <mergeCell ref="A54:A56"/>
    <mergeCell ref="B54:B56"/>
    <mergeCell ref="C54:C56"/>
    <mergeCell ref="D54:D56"/>
    <mergeCell ref="E54:E56"/>
    <mergeCell ref="Y36:Y37"/>
    <mergeCell ref="AA36:AA37"/>
    <mergeCell ref="D51:D52"/>
    <mergeCell ref="F51:F52"/>
    <mergeCell ref="K51:K52"/>
    <mergeCell ref="M51:M52"/>
    <mergeCell ref="R51:R52"/>
    <mergeCell ref="H54:H56"/>
    <mergeCell ref="I54:I56"/>
    <mergeCell ref="J54:J56"/>
    <mergeCell ref="K54:K56"/>
    <mergeCell ref="T51:T52"/>
    <mergeCell ref="Y51:Y52"/>
    <mergeCell ref="AA51:AA52"/>
    <mergeCell ref="AA54:AA56"/>
    <mergeCell ref="Y54:Y56"/>
    <mergeCell ref="AA29:AA30"/>
    <mergeCell ref="M29:M30"/>
    <mergeCell ref="R29:R30"/>
    <mergeCell ref="AA32:AA34"/>
    <mergeCell ref="D36:D37"/>
    <mergeCell ref="F36:F37"/>
    <mergeCell ref="K36:K37"/>
    <mergeCell ref="M36:M37"/>
    <mergeCell ref="R36:R37"/>
    <mergeCell ref="T36:T37"/>
    <mergeCell ref="R32:R34"/>
    <mergeCell ref="S32:S34"/>
    <mergeCell ref="T32:T34"/>
    <mergeCell ref="Y32:Y34"/>
    <mergeCell ref="L32:L34"/>
    <mergeCell ref="M32:M34"/>
    <mergeCell ref="O32:O34"/>
    <mergeCell ref="K29:K30"/>
    <mergeCell ref="H32:H34"/>
    <mergeCell ref="I32:I34"/>
    <mergeCell ref="J32:J34"/>
    <mergeCell ref="K32:K34"/>
    <mergeCell ref="T29:T30"/>
    <mergeCell ref="Y29:Y30"/>
    <mergeCell ref="D13:D14"/>
    <mergeCell ref="F13:F14"/>
    <mergeCell ref="P32:P34"/>
    <mergeCell ref="Q32:Q34"/>
    <mergeCell ref="A32:A34"/>
    <mergeCell ref="B32:B34"/>
    <mergeCell ref="C32:C34"/>
    <mergeCell ref="D32:D34"/>
    <mergeCell ref="E32:E34"/>
    <mergeCell ref="D29:D30"/>
    <mergeCell ref="F29:F30"/>
    <mergeCell ref="F32:F34"/>
  </mergeCells>
  <hyperlinks>
    <hyperlink ref="F19" location="INDEX!A1" display="Back to index"/>
    <hyperlink ref="F42" location="INDEX!A1" display="Back to index"/>
    <hyperlink ref="F64" location="INDEX!A1" display="Back to index"/>
    <hyperlink ref="F86" location="INDEX!A1" display="Back to index"/>
    <hyperlink ref="F108" location="INDEX!A1" display="Back to index"/>
    <hyperlink ref="F130" location="INDEX!A1" display="Back to index"/>
    <hyperlink ref="M130" location="INDEX!A1" display="Back to index"/>
    <hyperlink ref="M108" location="INDEX!A1" display="Back to index"/>
    <hyperlink ref="M86" location="INDEX!A1" display="Back to index"/>
    <hyperlink ref="M64" location="INDEX!A1" display="Back to index"/>
    <hyperlink ref="M43" location="INDEX!A1" display="Back to index"/>
    <hyperlink ref="M19" location="INDEX!A1" display="Back to index"/>
    <hyperlink ref="T19" location="INDEX!A1" display="Back to index"/>
    <hyperlink ref="T42" location="INDEX!A1" display="Back to index"/>
    <hyperlink ref="T64" location="INDEX!A1" display="Back to index"/>
    <hyperlink ref="T86" location="INDEX!A1" display="Back to index"/>
    <hyperlink ref="T108" location="INDEX!A1" display="Back to index"/>
    <hyperlink ref="T130" location="INDEX!A1" display="Back to index"/>
    <hyperlink ref="AA130" location="INDEX!A1" display="Back to index"/>
    <hyperlink ref="AA108" location="INDEX!A1" display="Back to index"/>
    <hyperlink ref="AA86" location="INDEX!A1" display="Back to index"/>
    <hyperlink ref="AA64" location="INDEX!A1" display="Back to index"/>
    <hyperlink ref="AA42" location="INDEX!A1" display="Back to index"/>
    <hyperlink ref="AA19" location="INDEX!A1" display="Back to index"/>
    <hyperlink ref="F152" location="INDEX!A1" display="Back to index"/>
    <hyperlink ref="M152" location="INDEX!A1" display="Back to index"/>
    <hyperlink ref="T152" location="INDEX!A1" display="Back to index"/>
    <hyperlink ref="AA152" location="INDEX!A1" display="Back to index"/>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060"/>
  </sheetPr>
  <dimension ref="B1:BD116"/>
  <sheetViews>
    <sheetView topLeftCell="A66" zoomScale="60" zoomScaleNormal="60" workbookViewId="0">
      <selection activeCell="AO116" sqref="AO116"/>
    </sheetView>
  </sheetViews>
  <sheetFormatPr defaultColWidth="9.140625" defaultRowHeight="15"/>
  <cols>
    <col min="1" max="1" width="3.42578125" style="231" customWidth="1"/>
    <col min="2" max="9" width="9.140625" style="231"/>
    <col min="10" max="10" width="3.42578125" style="231" customWidth="1"/>
    <col min="11" max="11" width="9.140625" style="232"/>
    <col min="12" max="18" width="9.140625" style="231"/>
    <col min="19" max="19" width="3.42578125" style="231" customWidth="1"/>
    <col min="20" max="27" width="9.140625" style="231" customWidth="1"/>
    <col min="28" max="28" width="3.42578125" style="231" customWidth="1"/>
    <col min="29" max="36" width="9.140625" style="231" customWidth="1"/>
    <col min="37" max="37" width="3.42578125" style="231" customWidth="1"/>
    <col min="38" max="47" width="9.140625" style="231" customWidth="1"/>
    <col min="48" max="51" width="9.140625" style="231"/>
    <col min="52" max="55" width="10" style="231" customWidth="1"/>
    <col min="56" max="16384" width="9.140625" style="231"/>
  </cols>
  <sheetData>
    <row r="1" spans="2:56" s="230" customFormat="1" ht="35.25" customHeight="1" thickTop="1">
      <c r="B1" s="230" t="s">
        <v>40</v>
      </c>
      <c r="K1" s="485" t="s">
        <v>244</v>
      </c>
      <c r="L1" s="486"/>
      <c r="M1" s="486"/>
      <c r="N1" s="486"/>
      <c r="O1" s="486"/>
      <c r="P1" s="486"/>
      <c r="Q1" s="486"/>
      <c r="R1" s="486"/>
      <c r="S1" s="486"/>
      <c r="T1" s="486"/>
      <c r="U1" s="486"/>
      <c r="V1" s="486"/>
      <c r="W1" s="486"/>
      <c r="X1" s="487"/>
    </row>
    <row r="2" spans="2:56" s="230" customFormat="1" ht="35.25">
      <c r="K2" s="488"/>
      <c r="L2" s="489"/>
      <c r="M2" s="489"/>
      <c r="N2" s="489"/>
      <c r="O2" s="489"/>
      <c r="P2" s="489"/>
      <c r="Q2" s="489"/>
      <c r="R2" s="489"/>
      <c r="S2" s="489"/>
      <c r="T2" s="489"/>
      <c r="U2" s="489"/>
      <c r="V2" s="489"/>
      <c r="W2" s="489"/>
      <c r="X2" s="490"/>
    </row>
    <row r="3" spans="2:56" s="230" customFormat="1" ht="36" thickBot="1">
      <c r="K3" s="491"/>
      <c r="L3" s="492"/>
      <c r="M3" s="492"/>
      <c r="N3" s="492"/>
      <c r="O3" s="492"/>
      <c r="P3" s="492"/>
      <c r="Q3" s="492"/>
      <c r="R3" s="492"/>
      <c r="S3" s="492"/>
      <c r="T3" s="492"/>
      <c r="U3" s="492"/>
      <c r="V3" s="492"/>
      <c r="W3" s="492"/>
      <c r="X3" s="493"/>
    </row>
    <row r="4" spans="2:56" ht="15.75" thickTop="1">
      <c r="N4" s="233" t="s">
        <v>63</v>
      </c>
      <c r="W4" s="233" t="s">
        <v>63</v>
      </c>
      <c r="AF4" s="233" t="s">
        <v>63</v>
      </c>
      <c r="AO4" s="233" t="s">
        <v>63</v>
      </c>
    </row>
    <row r="5" spans="2:56">
      <c r="AY5" s="234" t="s">
        <v>77</v>
      </c>
      <c r="AZ5" s="232"/>
      <c r="BA5" s="232"/>
      <c r="BB5" s="232"/>
      <c r="BC5" s="232"/>
      <c r="BD5" s="232"/>
    </row>
    <row r="6" spans="2:56">
      <c r="AY6" s="235"/>
      <c r="AZ6" s="236" t="s">
        <v>35</v>
      </c>
      <c r="BA6" s="236" t="s">
        <v>36</v>
      </c>
      <c r="BB6" s="236" t="s">
        <v>37</v>
      </c>
      <c r="BC6" s="236" t="s">
        <v>38</v>
      </c>
      <c r="BD6" s="232"/>
    </row>
    <row r="7" spans="2:56">
      <c r="AY7" s="237" t="s">
        <v>20</v>
      </c>
      <c r="AZ7" s="238">
        <f>'5. % BY PORTFOLIO'!F6</f>
        <v>1</v>
      </c>
      <c r="BA7" s="238">
        <f>'5. % BY PORTFOLIO'!M6</f>
        <v>1</v>
      </c>
      <c r="BB7" s="238">
        <f>'5. % BY PORTFOLIO'!T6</f>
        <v>0.96875</v>
      </c>
      <c r="BC7" s="238" t="e">
        <f>'5. % BY PORTFOLIO'!AA6</f>
        <v>#DIV/0!</v>
      </c>
      <c r="BD7" s="232"/>
    </row>
    <row r="8" spans="2:56">
      <c r="L8" s="239"/>
      <c r="M8" s="239"/>
      <c r="AY8" s="237" t="s">
        <v>21</v>
      </c>
      <c r="AZ8" s="238">
        <f>'5. % BY PORTFOLIO'!F9</f>
        <v>0</v>
      </c>
      <c r="BA8" s="238">
        <f>'5. % BY PORTFOLIO'!M9</f>
        <v>0</v>
      </c>
      <c r="BB8" s="238">
        <f>'5. % BY PORTFOLIO'!T9</f>
        <v>3.125E-2</v>
      </c>
      <c r="BC8" s="238" t="e">
        <f>'5. % BY PORTFOLIO'!AA9</f>
        <v>#DIV/0!</v>
      </c>
      <c r="BD8" s="232"/>
    </row>
    <row r="9" spans="2:56">
      <c r="L9" s="239"/>
      <c r="M9" s="239"/>
      <c r="AY9" s="237" t="s">
        <v>22</v>
      </c>
      <c r="AZ9" s="238">
        <f>'5. % BY PORTFOLIO'!F13</f>
        <v>0</v>
      </c>
      <c r="BA9" s="238">
        <f>'5. % BY PORTFOLIO'!M13</f>
        <v>0</v>
      </c>
      <c r="BB9" s="238">
        <f>'5. % BY PORTFOLIO'!T13</f>
        <v>0</v>
      </c>
      <c r="BC9" s="238" t="e">
        <f>'5. % BY PORTFOLIO'!AA13</f>
        <v>#DIV/0!</v>
      </c>
      <c r="BD9" s="232"/>
    </row>
    <row r="10" spans="2:56">
      <c r="L10" s="239"/>
      <c r="M10" s="239"/>
      <c r="AY10" s="235"/>
      <c r="AZ10" s="240"/>
      <c r="BA10" s="240"/>
      <c r="BB10" s="240"/>
      <c r="BC10" s="240"/>
      <c r="BD10" s="232"/>
    </row>
    <row r="11" spans="2:56">
      <c r="AY11" s="241"/>
      <c r="AZ11" s="239"/>
      <c r="BA11" s="239"/>
      <c r="BB11" s="239"/>
      <c r="BC11" s="239"/>
      <c r="BD11" s="232"/>
    </row>
    <row r="12" spans="2:56">
      <c r="AY12" s="241"/>
      <c r="AZ12" s="239"/>
      <c r="BA12" s="239"/>
      <c r="BB12" s="239"/>
      <c r="BC12" s="239"/>
      <c r="BD12" s="232"/>
    </row>
    <row r="13" spans="2:56">
      <c r="AY13" s="241"/>
      <c r="AZ13" s="239"/>
      <c r="BA13" s="239"/>
      <c r="BB13" s="239"/>
      <c r="BC13" s="239"/>
      <c r="BD13" s="232"/>
    </row>
    <row r="14" spans="2:56">
      <c r="AY14" s="232"/>
      <c r="AZ14" s="232"/>
      <c r="BA14" s="232"/>
      <c r="BB14" s="232"/>
      <c r="BC14" s="232"/>
      <c r="BD14" s="232"/>
    </row>
    <row r="15" spans="2:56">
      <c r="AY15" s="232"/>
      <c r="AZ15" s="232"/>
      <c r="BA15" s="232"/>
      <c r="BB15" s="232"/>
      <c r="BC15" s="232"/>
      <c r="BD15" s="232"/>
    </row>
    <row r="16" spans="2:56">
      <c r="AY16" s="232"/>
      <c r="AZ16" s="232"/>
      <c r="BA16" s="232"/>
      <c r="BB16" s="232"/>
      <c r="BC16" s="232"/>
      <c r="BD16" s="232"/>
    </row>
    <row r="17" spans="12:56">
      <c r="AY17" s="232"/>
      <c r="AZ17" s="232"/>
      <c r="BA17" s="232"/>
      <c r="BB17" s="232"/>
      <c r="BC17" s="232"/>
      <c r="BD17" s="232"/>
    </row>
    <row r="18" spans="12:56">
      <c r="AY18" s="232"/>
      <c r="AZ18" s="232"/>
      <c r="BA18" s="232"/>
      <c r="BB18" s="232"/>
      <c r="BC18" s="232"/>
      <c r="BD18" s="232"/>
    </row>
    <row r="19" spans="12:56">
      <c r="AY19" s="232"/>
      <c r="AZ19" s="232"/>
      <c r="BA19" s="232"/>
      <c r="BB19" s="232"/>
      <c r="BC19" s="232"/>
      <c r="BD19" s="232"/>
    </row>
    <row r="20" spans="12:56">
      <c r="N20" s="233" t="s">
        <v>63</v>
      </c>
      <c r="W20" s="233" t="s">
        <v>63</v>
      </c>
      <c r="AF20" s="233" t="s">
        <v>63</v>
      </c>
      <c r="AO20" s="233" t="s">
        <v>63</v>
      </c>
      <c r="AY20" s="232"/>
      <c r="AZ20" s="232"/>
      <c r="BA20" s="232"/>
      <c r="BB20" s="232"/>
      <c r="BC20" s="232"/>
      <c r="BD20" s="232"/>
    </row>
    <row r="21" spans="12:56">
      <c r="AY21" s="234" t="s">
        <v>95</v>
      </c>
      <c r="AZ21" s="232"/>
      <c r="BA21" s="232"/>
      <c r="BB21" s="232"/>
      <c r="BC21" s="232"/>
      <c r="BD21" s="232"/>
    </row>
    <row r="22" spans="12:56">
      <c r="AY22" s="235"/>
      <c r="AZ22" s="236" t="s">
        <v>35</v>
      </c>
      <c r="BA22" s="236" t="s">
        <v>36</v>
      </c>
      <c r="BB22" s="236" t="s">
        <v>37</v>
      </c>
      <c r="BC22" s="236" t="s">
        <v>38</v>
      </c>
      <c r="BD22" s="232"/>
    </row>
    <row r="23" spans="12:56">
      <c r="AY23" s="237" t="s">
        <v>20</v>
      </c>
      <c r="AZ23" s="238">
        <f>'5. % BY PORTFOLIO'!F29</f>
        <v>1</v>
      </c>
      <c r="BA23" s="238">
        <f>'5. % BY PORTFOLIO'!M29</f>
        <v>1</v>
      </c>
      <c r="BB23" s="238">
        <f>'5. % BY PORTFOLIO'!T29</f>
        <v>1</v>
      </c>
      <c r="BC23" s="238" t="e">
        <f>'5. % BY PORTFOLIO'!AA29</f>
        <v>#DIV/0!</v>
      </c>
      <c r="BD23" s="232"/>
    </row>
    <row r="24" spans="12:56">
      <c r="L24" s="239"/>
      <c r="M24" s="239"/>
      <c r="AY24" s="237" t="s">
        <v>21</v>
      </c>
      <c r="AZ24" s="238">
        <f>'5. % BY PORTFOLIO'!F32</f>
        <v>0</v>
      </c>
      <c r="BA24" s="238">
        <f>'5. % BY PORTFOLIO'!M32</f>
        <v>0</v>
      </c>
      <c r="BB24" s="238">
        <f>'5. % BY PORTFOLIO'!T32</f>
        <v>0</v>
      </c>
      <c r="BC24" s="238" t="e">
        <f>'5. % BY PORTFOLIO'!AA32</f>
        <v>#DIV/0!</v>
      </c>
      <c r="BD24" s="232"/>
    </row>
    <row r="25" spans="12:56">
      <c r="L25" s="239"/>
      <c r="M25" s="239"/>
      <c r="AY25" s="237" t="s">
        <v>22</v>
      </c>
      <c r="AZ25" s="238">
        <f>'5. % BY PORTFOLIO'!F36</f>
        <v>0</v>
      </c>
      <c r="BA25" s="238">
        <f>'5. % BY PORTFOLIO'!M36</f>
        <v>0</v>
      </c>
      <c r="BB25" s="238">
        <f>'5. % BY PORTFOLIO'!T36</f>
        <v>0</v>
      </c>
      <c r="BC25" s="238" t="e">
        <f>'5. % BY PORTFOLIO'!AA36</f>
        <v>#DIV/0!</v>
      </c>
      <c r="BD25" s="232"/>
    </row>
    <row r="26" spans="12:56">
      <c r="L26" s="239"/>
      <c r="M26" s="239"/>
      <c r="AY26" s="232"/>
      <c r="AZ26" s="232"/>
      <c r="BA26" s="232"/>
      <c r="BB26" s="232"/>
      <c r="BC26" s="232"/>
      <c r="BD26" s="232"/>
    </row>
    <row r="27" spans="12:56">
      <c r="AY27" s="241"/>
      <c r="AZ27" s="232"/>
      <c r="BA27" s="232"/>
      <c r="BB27" s="232"/>
      <c r="BC27" s="232"/>
      <c r="BD27" s="232"/>
    </row>
    <row r="28" spans="12:56">
      <c r="AY28" s="241"/>
      <c r="AZ28" s="232"/>
      <c r="BA28" s="232"/>
      <c r="BB28" s="232"/>
      <c r="BC28" s="232"/>
      <c r="BD28" s="232"/>
    </row>
    <row r="29" spans="12:56">
      <c r="AY29" s="241"/>
      <c r="AZ29" s="232"/>
      <c r="BA29" s="232"/>
      <c r="BB29" s="232"/>
      <c r="BC29" s="232"/>
      <c r="BD29" s="232"/>
    </row>
    <row r="30" spans="12:56">
      <c r="AY30" s="232"/>
      <c r="AZ30" s="232"/>
      <c r="BA30" s="232"/>
      <c r="BB30" s="232"/>
      <c r="BC30" s="232"/>
      <c r="BD30" s="232"/>
    </row>
    <row r="31" spans="12:56">
      <c r="AY31" s="232"/>
      <c r="AZ31" s="232"/>
      <c r="BA31" s="232"/>
      <c r="BB31" s="232"/>
      <c r="BC31" s="232"/>
      <c r="BD31" s="232"/>
    </row>
    <row r="32" spans="12:56">
      <c r="AY32" s="232"/>
      <c r="AZ32" s="232"/>
      <c r="BA32" s="232"/>
      <c r="BB32" s="232"/>
      <c r="BC32" s="232"/>
      <c r="BD32" s="232"/>
    </row>
    <row r="33" spans="11:56">
      <c r="AY33" s="232"/>
      <c r="AZ33" s="232"/>
      <c r="BA33" s="232"/>
      <c r="BB33" s="232"/>
      <c r="BC33" s="232"/>
      <c r="BD33" s="232"/>
    </row>
    <row r="34" spans="11:56">
      <c r="AY34" s="232"/>
      <c r="AZ34" s="232"/>
      <c r="BA34" s="232"/>
      <c r="BB34" s="232"/>
      <c r="BC34" s="232"/>
      <c r="BD34" s="232"/>
    </row>
    <row r="35" spans="11:56">
      <c r="AY35" s="232"/>
      <c r="AZ35" s="232"/>
      <c r="BA35" s="232"/>
      <c r="BB35" s="232"/>
      <c r="BC35" s="232"/>
      <c r="BD35" s="232"/>
    </row>
    <row r="36" spans="11:56">
      <c r="N36" s="233" t="s">
        <v>63</v>
      </c>
      <c r="W36" s="233" t="s">
        <v>63</v>
      </c>
      <c r="AF36" s="233" t="s">
        <v>63</v>
      </c>
      <c r="AO36" s="233" t="s">
        <v>63</v>
      </c>
      <c r="AY36" s="232"/>
      <c r="AZ36" s="232"/>
      <c r="BA36" s="232"/>
      <c r="BB36" s="232"/>
      <c r="BC36" s="232"/>
      <c r="BD36" s="232"/>
    </row>
    <row r="37" spans="11:56">
      <c r="AY37" s="234" t="s">
        <v>274</v>
      </c>
      <c r="AZ37" s="242"/>
      <c r="BA37" s="242"/>
      <c r="BB37" s="242"/>
      <c r="BC37" s="242"/>
      <c r="BD37" s="242"/>
    </row>
    <row r="38" spans="11:56">
      <c r="AY38" s="243"/>
      <c r="AZ38" s="236" t="s">
        <v>35</v>
      </c>
      <c r="BA38" s="236" t="s">
        <v>36</v>
      </c>
      <c r="BB38" s="236" t="s">
        <v>37</v>
      </c>
      <c r="BC38" s="236" t="s">
        <v>38</v>
      </c>
      <c r="BD38" s="242"/>
    </row>
    <row r="39" spans="11:56">
      <c r="AY39" s="237" t="s">
        <v>20</v>
      </c>
      <c r="AZ39" s="238">
        <f>'5. % BY PORTFOLIO'!F51</f>
        <v>1</v>
      </c>
      <c r="BA39" s="238">
        <f>'5. % BY PORTFOLIO'!M51</f>
        <v>1</v>
      </c>
      <c r="BB39" s="238">
        <f>'5. % BY PORTFOLIO'!T51</f>
        <v>1</v>
      </c>
      <c r="BC39" s="238" t="e">
        <f>'5. % BY PORTFOLIO'!AA51</f>
        <v>#DIV/0!</v>
      </c>
      <c r="BD39" s="242"/>
    </row>
    <row r="40" spans="11:56">
      <c r="K40" s="239"/>
      <c r="L40" s="239"/>
      <c r="AY40" s="237" t="s">
        <v>21</v>
      </c>
      <c r="AZ40" s="238">
        <f>'5. % BY PORTFOLIO'!F54</f>
        <v>0</v>
      </c>
      <c r="BA40" s="238">
        <f>'5. % BY PORTFOLIO'!M54</f>
        <v>0</v>
      </c>
      <c r="BB40" s="238">
        <f>'5. % BY PORTFOLIO'!T54</f>
        <v>0</v>
      </c>
      <c r="BC40" s="238" t="e">
        <f>'5. % BY PORTFOLIO'!AA54</f>
        <v>#DIV/0!</v>
      </c>
      <c r="BD40" s="242"/>
    </row>
    <row r="41" spans="11:56">
      <c r="K41" s="239"/>
      <c r="L41" s="239"/>
      <c r="AY41" s="237" t="s">
        <v>22</v>
      </c>
      <c r="AZ41" s="238">
        <f>'5. % BY PORTFOLIO'!F58</f>
        <v>0</v>
      </c>
      <c r="BA41" s="238">
        <f>'5. % BY PORTFOLIO'!M58</f>
        <v>0</v>
      </c>
      <c r="BB41" s="238">
        <f>'5. % BY PORTFOLIO'!T58</f>
        <v>0</v>
      </c>
      <c r="BC41" s="238" t="e">
        <f>'5. % BY PORTFOLIO'!AA58</f>
        <v>#DIV/0!</v>
      </c>
      <c r="BD41" s="242"/>
    </row>
    <row r="42" spans="11:56">
      <c r="K42" s="239"/>
      <c r="L42" s="239"/>
      <c r="AY42" s="232"/>
      <c r="AZ42" s="232"/>
      <c r="BA42" s="232"/>
      <c r="BB42" s="232"/>
      <c r="BC42" s="232"/>
      <c r="BD42" s="232"/>
    </row>
    <row r="43" spans="11:56">
      <c r="AY43" s="241"/>
      <c r="AZ43" s="232"/>
      <c r="BA43" s="232"/>
      <c r="BB43" s="232"/>
      <c r="BC43" s="232"/>
      <c r="BD43" s="232"/>
    </row>
    <row r="44" spans="11:56">
      <c r="AY44" s="241"/>
      <c r="AZ44" s="232"/>
      <c r="BA44" s="232"/>
      <c r="BB44" s="232"/>
      <c r="BC44" s="232"/>
      <c r="BD44" s="232"/>
    </row>
    <row r="45" spans="11:56">
      <c r="AY45" s="241"/>
      <c r="AZ45" s="232"/>
      <c r="BA45" s="232"/>
      <c r="BB45" s="232"/>
      <c r="BC45" s="232"/>
      <c r="BD45" s="232"/>
    </row>
    <row r="46" spans="11:56">
      <c r="AY46" s="232"/>
      <c r="AZ46" s="232"/>
      <c r="BA46" s="232"/>
      <c r="BB46" s="232"/>
      <c r="BC46" s="232"/>
      <c r="BD46" s="232"/>
    </row>
    <row r="47" spans="11:56">
      <c r="AY47" s="232"/>
      <c r="AZ47" s="232"/>
      <c r="BA47" s="232"/>
      <c r="BB47" s="232"/>
      <c r="BC47" s="232"/>
      <c r="BD47" s="232"/>
    </row>
    <row r="48" spans="11:56">
      <c r="AY48" s="232"/>
      <c r="AZ48" s="232"/>
      <c r="BA48" s="232"/>
      <c r="BB48" s="232"/>
      <c r="BC48" s="232"/>
      <c r="BD48" s="232"/>
    </row>
    <row r="49" spans="12:56">
      <c r="AY49" s="232"/>
      <c r="AZ49" s="232"/>
      <c r="BA49" s="232"/>
      <c r="BB49" s="232"/>
      <c r="BC49" s="232"/>
      <c r="BD49" s="232"/>
    </row>
    <row r="50" spans="12:56">
      <c r="AY50" s="232"/>
      <c r="AZ50" s="232"/>
      <c r="BA50" s="232"/>
      <c r="BB50" s="232"/>
      <c r="BC50" s="232"/>
      <c r="BD50" s="232"/>
    </row>
    <row r="51" spans="12:56">
      <c r="AY51" s="232"/>
      <c r="AZ51" s="232"/>
      <c r="BA51" s="232"/>
      <c r="BB51" s="232"/>
      <c r="BC51" s="232"/>
      <c r="BD51" s="232"/>
    </row>
    <row r="52" spans="12:56">
      <c r="N52" s="233" t="s">
        <v>63</v>
      </c>
      <c r="W52" s="233" t="s">
        <v>63</v>
      </c>
      <c r="AF52" s="233" t="s">
        <v>63</v>
      </c>
      <c r="AO52" s="233" t="s">
        <v>63</v>
      </c>
      <c r="AY52" s="232"/>
      <c r="AZ52" s="232"/>
      <c r="BA52" s="232"/>
      <c r="BB52" s="232"/>
      <c r="BC52" s="232"/>
      <c r="BD52" s="232"/>
    </row>
    <row r="53" spans="12:56">
      <c r="AY53" s="234" t="s">
        <v>275</v>
      </c>
      <c r="AZ53" s="242"/>
      <c r="BA53" s="242"/>
      <c r="BB53" s="242"/>
      <c r="BC53" s="242"/>
      <c r="BD53" s="232"/>
    </row>
    <row r="54" spans="12:56">
      <c r="AY54" s="243"/>
      <c r="AZ54" s="236" t="s">
        <v>35</v>
      </c>
      <c r="BA54" s="236" t="s">
        <v>36</v>
      </c>
      <c r="BB54" s="236" t="s">
        <v>37</v>
      </c>
      <c r="BC54" s="236" t="s">
        <v>38</v>
      </c>
      <c r="BD54" s="232"/>
    </row>
    <row r="55" spans="12:56">
      <c r="AY55" s="237" t="s">
        <v>20</v>
      </c>
      <c r="AZ55" s="238">
        <f>'5. % BY PORTFOLIO'!F73</f>
        <v>1</v>
      </c>
      <c r="BA55" s="238">
        <f>'5. % BY PORTFOLIO'!M73</f>
        <v>1</v>
      </c>
      <c r="BB55" s="238">
        <f>'5. % BY PORTFOLIO'!T73</f>
        <v>0.9285714285714286</v>
      </c>
      <c r="BC55" s="238" t="e">
        <f>'5. % BY PORTFOLIO'!AA73</f>
        <v>#DIV/0!</v>
      </c>
      <c r="BD55" s="232"/>
    </row>
    <row r="56" spans="12:56">
      <c r="L56" s="239"/>
      <c r="M56" s="239"/>
      <c r="AY56" s="237" t="s">
        <v>21</v>
      </c>
      <c r="AZ56" s="238">
        <f>'5. % BY PORTFOLIO'!F76</f>
        <v>0</v>
      </c>
      <c r="BA56" s="238">
        <f>'5. % BY PORTFOLIO'!M76</f>
        <v>0</v>
      </c>
      <c r="BB56" s="238">
        <f>'5. % BY PORTFOLIO'!T76</f>
        <v>7.1428571428571425E-2</v>
      </c>
      <c r="BC56" s="238" t="e">
        <f>'5. % BY PORTFOLIO'!AA76</f>
        <v>#DIV/0!</v>
      </c>
      <c r="BD56" s="232"/>
    </row>
    <row r="57" spans="12:56">
      <c r="L57" s="239"/>
      <c r="M57" s="239"/>
      <c r="AY57" s="237" t="s">
        <v>22</v>
      </c>
      <c r="AZ57" s="238">
        <f>'5. % BY PORTFOLIO'!F80</f>
        <v>0</v>
      </c>
      <c r="BA57" s="238">
        <f>'5. % BY PORTFOLIO'!M80</f>
        <v>0</v>
      </c>
      <c r="BB57" s="238">
        <f>'5. % BY PORTFOLIO'!T80</f>
        <v>0</v>
      </c>
      <c r="BC57" s="238" t="e">
        <f>'5. % BY PORTFOLIO'!AA80</f>
        <v>#DIV/0!</v>
      </c>
      <c r="BD57" s="232"/>
    </row>
    <row r="58" spans="12:56">
      <c r="L58" s="239"/>
      <c r="M58" s="239"/>
      <c r="AY58" s="232"/>
      <c r="AZ58" s="232"/>
      <c r="BA58" s="232"/>
      <c r="BB58" s="232"/>
      <c r="BC58" s="232"/>
      <c r="BD58" s="232"/>
    </row>
    <row r="59" spans="12:56">
      <c r="AY59" s="241"/>
      <c r="AZ59" s="232"/>
      <c r="BA59" s="232"/>
      <c r="BB59" s="232"/>
      <c r="BC59" s="232"/>
      <c r="BD59" s="232"/>
    </row>
    <row r="60" spans="12:56">
      <c r="AY60" s="241"/>
      <c r="AZ60" s="232"/>
      <c r="BA60" s="232"/>
      <c r="BB60" s="232"/>
      <c r="BC60" s="232"/>
      <c r="BD60" s="232"/>
    </row>
    <row r="61" spans="12:56">
      <c r="AY61" s="241"/>
      <c r="AZ61" s="232"/>
      <c r="BA61" s="232"/>
      <c r="BB61" s="232"/>
      <c r="BC61" s="232"/>
      <c r="BD61" s="232"/>
    </row>
    <row r="62" spans="12:56">
      <c r="AY62" s="232"/>
      <c r="AZ62" s="232"/>
      <c r="BA62" s="232"/>
      <c r="BB62" s="232"/>
      <c r="BC62" s="232"/>
      <c r="BD62" s="232"/>
    </row>
    <row r="63" spans="12:56">
      <c r="AY63" s="232"/>
      <c r="AZ63" s="232"/>
      <c r="BA63" s="232"/>
      <c r="BB63" s="232"/>
      <c r="BC63" s="232"/>
      <c r="BD63" s="232"/>
    </row>
    <row r="64" spans="12:56">
      <c r="AY64" s="232"/>
      <c r="AZ64" s="232"/>
      <c r="BA64" s="232"/>
      <c r="BB64" s="232"/>
      <c r="BC64" s="232"/>
      <c r="BD64" s="232"/>
    </row>
    <row r="65" spans="14:56">
      <c r="AY65" s="232"/>
      <c r="AZ65" s="232"/>
      <c r="BA65" s="232"/>
      <c r="BB65" s="232"/>
      <c r="BC65" s="232"/>
      <c r="BD65" s="232"/>
    </row>
    <row r="66" spans="14:56">
      <c r="AY66" s="232"/>
      <c r="AZ66" s="232"/>
      <c r="BA66" s="232"/>
      <c r="BB66" s="232"/>
      <c r="BC66" s="232"/>
      <c r="BD66" s="232"/>
    </row>
    <row r="68" spans="14:56">
      <c r="N68" s="233" t="s">
        <v>63</v>
      </c>
      <c r="W68" s="233" t="s">
        <v>63</v>
      </c>
      <c r="AF68" s="233" t="s">
        <v>63</v>
      </c>
      <c r="AO68" s="233" t="s">
        <v>63</v>
      </c>
      <c r="AY68" s="232"/>
      <c r="AZ68" s="232"/>
      <c r="BA68" s="232"/>
      <c r="BB68" s="232"/>
      <c r="BC68" s="232"/>
      <c r="BD68" s="232"/>
    </row>
    <row r="69" spans="14:56">
      <c r="AY69" s="234" t="s">
        <v>276</v>
      </c>
      <c r="AZ69" s="242"/>
      <c r="BA69" s="242"/>
      <c r="BB69" s="242"/>
      <c r="BC69" s="242"/>
    </row>
    <row r="70" spans="14:56">
      <c r="AY70" s="243"/>
      <c r="AZ70" s="236" t="s">
        <v>35</v>
      </c>
      <c r="BA70" s="236" t="s">
        <v>36</v>
      </c>
      <c r="BB70" s="236" t="s">
        <v>37</v>
      </c>
      <c r="BC70" s="236" t="s">
        <v>38</v>
      </c>
    </row>
    <row r="71" spans="14:56">
      <c r="AY71" s="237" t="s">
        <v>20</v>
      </c>
      <c r="AZ71" s="238">
        <f>'5. % BY PORTFOLIO'!F95</f>
        <v>1</v>
      </c>
      <c r="BA71" s="238">
        <f>'5. % BY PORTFOLIO'!M95</f>
        <v>1</v>
      </c>
      <c r="BB71" s="238">
        <f>'5. % BY PORTFOLIO'!T95</f>
        <v>0.9285714285714286</v>
      </c>
      <c r="BC71" s="238" t="e">
        <f>'5. % BY PORTFOLIO'!AA95</f>
        <v>#DIV/0!</v>
      </c>
    </row>
    <row r="72" spans="14:56">
      <c r="AY72" s="237" t="s">
        <v>21</v>
      </c>
      <c r="AZ72" s="238">
        <f>'5. % BY PORTFOLIO'!F98</f>
        <v>0</v>
      </c>
      <c r="BA72" s="238">
        <f>'5. % BY PORTFOLIO'!M98</f>
        <v>0</v>
      </c>
      <c r="BB72" s="238">
        <f>'5. % BY PORTFOLIO'!T98</f>
        <v>7.1428571428571425E-2</v>
      </c>
      <c r="BC72" s="238" t="e">
        <f>'5. % BY PORTFOLIO'!AA98</f>
        <v>#DIV/0!</v>
      </c>
    </row>
    <row r="73" spans="14:56">
      <c r="AY73" s="237" t="s">
        <v>22</v>
      </c>
      <c r="AZ73" s="238">
        <f>'5. % BY PORTFOLIO'!F102</f>
        <v>0</v>
      </c>
      <c r="BA73" s="238">
        <f>'5. % BY PORTFOLIO'!M102</f>
        <v>0</v>
      </c>
      <c r="BB73" s="238">
        <f>'5. % BY PORTFOLIO'!T102</f>
        <v>0</v>
      </c>
      <c r="BC73" s="238" t="e">
        <f>'5. % BY PORTFOLIO'!AA102</f>
        <v>#DIV/0!</v>
      </c>
    </row>
    <row r="84" spans="14:55">
      <c r="N84" s="233" t="s">
        <v>63</v>
      </c>
      <c r="W84" s="233" t="s">
        <v>63</v>
      </c>
      <c r="AF84" s="233" t="s">
        <v>63</v>
      </c>
      <c r="AO84" s="233" t="s">
        <v>63</v>
      </c>
    </row>
    <row r="85" spans="14:55">
      <c r="AY85" s="234" t="s">
        <v>39</v>
      </c>
      <c r="AZ85" s="242"/>
      <c r="BA85" s="242"/>
      <c r="BB85" s="242"/>
      <c r="BC85" s="242"/>
    </row>
    <row r="86" spans="14:55">
      <c r="AY86" s="243"/>
      <c r="AZ86" s="236" t="s">
        <v>35</v>
      </c>
      <c r="BA86" s="236" t="s">
        <v>36</v>
      </c>
      <c r="BB86" s="236" t="s">
        <v>37</v>
      </c>
      <c r="BC86" s="236" t="s">
        <v>38</v>
      </c>
    </row>
    <row r="87" spans="14:55">
      <c r="AY87" s="237" t="s">
        <v>20</v>
      </c>
      <c r="AZ87" s="238">
        <f>'5. % BY PORTFOLIO'!F117</f>
        <v>1</v>
      </c>
      <c r="BA87" s="238">
        <f>'5. % BY PORTFOLIO'!M117</f>
        <v>1</v>
      </c>
      <c r="BB87" s="238">
        <f>'5. % BY PORTFOLIO'!T117</f>
        <v>1</v>
      </c>
      <c r="BC87" s="238" t="e">
        <f>'5. % BY PORTFOLIO'!AA117</f>
        <v>#DIV/0!</v>
      </c>
    </row>
    <row r="88" spans="14:55">
      <c r="AY88" s="237" t="s">
        <v>21</v>
      </c>
      <c r="AZ88" s="238">
        <f>'5. % BY PORTFOLIO'!F120</f>
        <v>0</v>
      </c>
      <c r="BA88" s="238">
        <f>'5. % BY PORTFOLIO'!M120</f>
        <v>0</v>
      </c>
      <c r="BB88" s="238">
        <f>'5. % BY PORTFOLIO'!T120</f>
        <v>0</v>
      </c>
      <c r="BC88" s="238" t="e">
        <f>'5. % BY PORTFOLIO'!AA120</f>
        <v>#DIV/0!</v>
      </c>
    </row>
    <row r="89" spans="14:55">
      <c r="AY89" s="237" t="s">
        <v>22</v>
      </c>
      <c r="AZ89" s="238">
        <f>'5. % BY PORTFOLIO'!F124</f>
        <v>0</v>
      </c>
      <c r="BA89" s="238">
        <f>'5. % BY PORTFOLIO'!M124</f>
        <v>0</v>
      </c>
      <c r="BB89" s="238">
        <f>'5. % BY PORTFOLIO'!T124</f>
        <v>0</v>
      </c>
      <c r="BC89" s="238" t="e">
        <f>'5. % BY PORTFOLIO'!AA124</f>
        <v>#DIV/0!</v>
      </c>
    </row>
    <row r="100" spans="14:55">
      <c r="N100" s="233" t="s">
        <v>63</v>
      </c>
      <c r="W100" s="233" t="s">
        <v>63</v>
      </c>
      <c r="AF100" s="233" t="s">
        <v>63</v>
      </c>
      <c r="AO100" s="233" t="s">
        <v>63</v>
      </c>
    </row>
    <row r="101" spans="14:55">
      <c r="AY101" s="234" t="s">
        <v>376</v>
      </c>
      <c r="AZ101" s="242"/>
      <c r="BA101" s="242"/>
      <c r="BB101" s="242"/>
      <c r="BC101" s="242"/>
    </row>
    <row r="102" spans="14:55">
      <c r="AY102" s="243"/>
      <c r="AZ102" s="236" t="s">
        <v>35</v>
      </c>
      <c r="BA102" s="236" t="s">
        <v>36</v>
      </c>
      <c r="BB102" s="236" t="s">
        <v>37</v>
      </c>
      <c r="BC102" s="236" t="s">
        <v>38</v>
      </c>
    </row>
    <row r="103" spans="14:55">
      <c r="AY103" s="237" t="s">
        <v>20</v>
      </c>
      <c r="AZ103" s="238">
        <f>'5. % BY PORTFOLIO'!F139</f>
        <v>0.8</v>
      </c>
      <c r="BA103" s="238">
        <f>'5. % BY PORTFOLIO'!M139</f>
        <v>0.8</v>
      </c>
      <c r="BB103" s="238">
        <f>'5. % BY PORTFOLIO'!T139</f>
        <v>0.8</v>
      </c>
      <c r="BC103" s="238" t="e">
        <f>'5. % BY PORTFOLIO'!AA139</f>
        <v>#DIV/0!</v>
      </c>
    </row>
    <row r="104" spans="14:55">
      <c r="AY104" s="237" t="s">
        <v>21</v>
      </c>
      <c r="AZ104" s="238">
        <f>'5. % BY PORTFOLIO'!F142</f>
        <v>0</v>
      </c>
      <c r="BA104" s="238">
        <f>'5. % BY PORTFOLIO'!M142</f>
        <v>0</v>
      </c>
      <c r="BB104" s="238">
        <f>'5. % BY PORTFOLIO'!T142</f>
        <v>0</v>
      </c>
      <c r="BC104" s="238" t="e">
        <f>'5. % BY PORTFOLIO'!AA142</f>
        <v>#DIV/0!</v>
      </c>
    </row>
    <row r="105" spans="14:55">
      <c r="AY105" s="237" t="s">
        <v>22</v>
      </c>
      <c r="AZ105" s="238">
        <f>'5. % BY PORTFOLIO'!F146</f>
        <v>0.2</v>
      </c>
      <c r="BA105" s="238">
        <f>'5. % BY PORTFOLIO'!M146</f>
        <v>0.2</v>
      </c>
      <c r="BB105" s="238">
        <f>'5. % BY PORTFOLIO'!T146</f>
        <v>0.2</v>
      </c>
      <c r="BC105" s="238" t="e">
        <f>'5. % BY PORTFOLIO'!AA146</f>
        <v>#DIV/0!</v>
      </c>
    </row>
    <row r="116" spans="14:41">
      <c r="N116" s="233" t="s">
        <v>63</v>
      </c>
      <c r="W116" s="233" t="s">
        <v>63</v>
      </c>
      <c r="AF116" s="233" t="s">
        <v>63</v>
      </c>
      <c r="AO116" s="233" t="s">
        <v>63</v>
      </c>
    </row>
  </sheetData>
  <mergeCells count="1">
    <mergeCell ref="K1:X3"/>
  </mergeCells>
  <hyperlinks>
    <hyperlink ref="W4" location="INDEX!A1" display="Back to index"/>
    <hyperlink ref="AF4" location="INDEX!A1" display="Back to index"/>
    <hyperlink ref="AO4" location="INDEX!A1" display="Back to index"/>
    <hyperlink ref="AO20" location="INDEX!A1" display="Back to index"/>
    <hyperlink ref="AO36" location="INDEX!A1" display="Back to index"/>
    <hyperlink ref="AF36" location="INDEX!A1" display="Back to index"/>
    <hyperlink ref="W36" location="INDEX!A1" display="Back to index"/>
    <hyperlink ref="W20" location="INDEX!A1" display="Back to index"/>
    <hyperlink ref="AF20" location="INDEX!A1" display="Back to index"/>
    <hyperlink ref="W52" location="INDEX!A1" display="Back to index"/>
    <hyperlink ref="AF52" location="INDEX!A1" display="Back to index"/>
    <hyperlink ref="AO52" location="INDEX!A1" display="Back to index"/>
    <hyperlink ref="W68" location="INDEX!A1" display="Back to index"/>
    <hyperlink ref="AF68" location="INDEX!A1" display="Back to index"/>
    <hyperlink ref="AO68" location="INDEX!A1" display="Back to index"/>
    <hyperlink ref="N4" location="INDEX!A1" display="Back to index"/>
    <hyperlink ref="N20" location="INDEX!A1" display="Back to index"/>
    <hyperlink ref="N36" location="INDEX!A1" display="Back to index"/>
    <hyperlink ref="N52" location="INDEX!A1" display="Back to index"/>
    <hyperlink ref="N68" location="INDEX!A1" display="Back to index"/>
    <hyperlink ref="N84" location="INDEX!A1" display="Back to index"/>
    <hyperlink ref="W84" location="INDEX!A1" display="Back to index"/>
    <hyperlink ref="AF84" location="INDEX!A1" display="Back to index"/>
    <hyperlink ref="AO84" location="INDEX!A1" display="Back to index"/>
    <hyperlink ref="N100" location="INDEX!A1" display="Back to index"/>
    <hyperlink ref="W100" location="INDEX!A1" display="Back to index"/>
    <hyperlink ref="AF100" location="INDEX!A1" display="Back to index"/>
    <hyperlink ref="AO100" location="INDEX!A1" display="Back to index"/>
    <hyperlink ref="N116" location="INDEX!A1" display="Back to index"/>
    <hyperlink ref="W116" location="INDEX!A1" display="Back to index"/>
    <hyperlink ref="AF116" location="INDEX!A1" display="Back to index"/>
    <hyperlink ref="AO116" location="INDEX!A1" display="Back to index"/>
  </hyperlinks>
  <pageMargins left="0.7" right="0.7" top="0.75" bottom="0.75" header="0.3" footer="0.3"/>
  <pageSetup paperSize="9" orientation="portrait" horizontalDpi="300" verticalDpi="0" copies="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N48"/>
  <sheetViews>
    <sheetView zoomScale="70" zoomScaleNormal="70" workbookViewId="0">
      <selection activeCell="A10" sqref="A10:XFD17"/>
    </sheetView>
  </sheetViews>
  <sheetFormatPr defaultColWidth="9.140625" defaultRowHeight="15"/>
  <cols>
    <col min="1" max="1" width="9.140625" style="30"/>
    <col min="2" max="2" width="49.5703125" style="23" customWidth="1"/>
    <col min="3" max="3" width="27.140625" style="23" customWidth="1"/>
    <col min="4" max="4" width="27.140625" style="122" customWidth="1"/>
    <col min="5" max="8" width="27.140625" style="23" customWidth="1"/>
    <col min="9" max="40" width="9.140625" style="30"/>
    <col min="41" max="16384" width="9.140625" style="23"/>
  </cols>
  <sheetData>
    <row r="1" spans="1:40" s="30" customFormat="1" ht="33" customHeight="1" thickBot="1">
      <c r="B1" s="33" t="s">
        <v>76</v>
      </c>
      <c r="D1" s="119"/>
    </row>
    <row r="2" spans="1:40" ht="40.5" customHeight="1" thickTop="1" thickBot="1">
      <c r="B2" s="501" t="s">
        <v>372</v>
      </c>
      <c r="C2" s="503" t="s">
        <v>20</v>
      </c>
      <c r="D2" s="504"/>
      <c r="E2" s="505" t="s">
        <v>21</v>
      </c>
      <c r="F2" s="506"/>
      <c r="G2" s="507" t="s">
        <v>22</v>
      </c>
      <c r="H2" s="508"/>
    </row>
    <row r="3" spans="1:40" ht="50.25" customHeight="1" thickTop="1" thickBot="1">
      <c r="B3" s="502"/>
      <c r="C3" s="128" t="s">
        <v>64</v>
      </c>
      <c r="D3" s="121" t="s">
        <v>26</v>
      </c>
      <c r="E3" s="129" t="s">
        <v>64</v>
      </c>
      <c r="F3" s="130" t="s">
        <v>26</v>
      </c>
      <c r="G3" s="131" t="s">
        <v>64</v>
      </c>
      <c r="H3" s="132" t="s">
        <v>26</v>
      </c>
    </row>
    <row r="4" spans="1:40" s="24" customFormat="1" ht="21.75" thickTop="1" thickBot="1">
      <c r="A4" s="31"/>
      <c r="B4" s="117" t="s">
        <v>65</v>
      </c>
      <c r="C4" s="67"/>
      <c r="D4" s="120"/>
      <c r="E4" s="67"/>
      <c r="F4" s="67"/>
      <c r="G4" s="67"/>
      <c r="H4" s="118"/>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row>
    <row r="5" spans="1:40" s="115" customFormat="1" ht="37.5" customHeight="1" thickTop="1" thickBot="1">
      <c r="A5" s="114"/>
      <c r="B5" s="123" t="s">
        <v>66</v>
      </c>
      <c r="C5" s="133">
        <f>'3. % BY PRIORITY'!C6+'3. % BY PRIORITY'!C7</f>
        <v>86</v>
      </c>
      <c r="D5" s="180">
        <f>'3. % BY PRIORITY'!G6</f>
        <v>0.9885057471264368</v>
      </c>
      <c r="E5" s="134">
        <f>'3. % BY PRIORITY'!C9</f>
        <v>0</v>
      </c>
      <c r="F5" s="130">
        <f>'3. % BY PRIORITY'!G9</f>
        <v>0</v>
      </c>
      <c r="G5" s="135">
        <f>'3. % BY PRIORITY'!C13+'3. % BY PRIORITY'!C14</f>
        <v>1</v>
      </c>
      <c r="H5" s="132">
        <f>'3. % BY PRIORITY'!G13</f>
        <v>1.1494252873563218E-2</v>
      </c>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row>
    <row r="6" spans="1:40" s="115" customFormat="1" ht="21.75" thickTop="1" thickBot="1">
      <c r="A6" s="114"/>
      <c r="B6" s="125" t="s">
        <v>67</v>
      </c>
      <c r="C6" s="116"/>
      <c r="D6" s="181"/>
      <c r="E6" s="116"/>
      <c r="F6" s="181"/>
      <c r="G6" s="116"/>
      <c r="H6" s="182"/>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row>
    <row r="7" spans="1:40" s="115" customFormat="1" ht="37.5" customHeight="1" thickTop="1" thickBot="1">
      <c r="A7" s="114"/>
      <c r="B7" s="123" t="s">
        <v>200</v>
      </c>
      <c r="C7" s="133">
        <f>'3. % BY PRIORITY'!C28+'3. % BY PRIORITY'!C29</f>
        <v>43</v>
      </c>
      <c r="D7" s="180">
        <f>'3. % BY PRIORITY'!G28</f>
        <v>1</v>
      </c>
      <c r="E7" s="136">
        <f>'3. % BY PRIORITY'!C31</f>
        <v>0</v>
      </c>
      <c r="F7" s="130">
        <f>'3. % BY PRIORITY'!G31</f>
        <v>0</v>
      </c>
      <c r="G7" s="135">
        <f>'3. % BY PRIORITY'!C35+'3. % BY PRIORITY'!C36</f>
        <v>0</v>
      </c>
      <c r="H7" s="132">
        <f>'3. % BY PRIORITY'!G35</f>
        <v>0</v>
      </c>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row>
    <row r="8" spans="1:40" s="115" customFormat="1" ht="37.5" customHeight="1" thickTop="1" thickBot="1">
      <c r="A8" s="114"/>
      <c r="B8" s="123" t="s">
        <v>201</v>
      </c>
      <c r="C8" s="133">
        <f>'3. % BY PRIORITY'!C50+'3. % BY PRIORITY'!C51</f>
        <v>16</v>
      </c>
      <c r="D8" s="180">
        <f>'3. % BY PRIORITY'!G50</f>
        <v>1</v>
      </c>
      <c r="E8" s="136">
        <f>'3. % BY PRIORITY'!C53</f>
        <v>0</v>
      </c>
      <c r="F8" s="130">
        <f>'3. % BY PRIORITY'!G53</f>
        <v>0</v>
      </c>
      <c r="G8" s="135">
        <f>'3. % BY PRIORITY'!C57+'3. % BY PRIORITY'!C58</f>
        <v>0</v>
      </c>
      <c r="H8" s="132">
        <f>'3. % BY PRIORITY'!G57</f>
        <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row>
    <row r="9" spans="1:40" s="115" customFormat="1" ht="37.5" customHeight="1" thickTop="1" thickBot="1">
      <c r="A9" s="114"/>
      <c r="B9" s="123" t="s">
        <v>202</v>
      </c>
      <c r="C9" s="133">
        <f>'3. % BY PRIORITY'!C72+'3. % BY PRIORITY'!C73</f>
        <v>27</v>
      </c>
      <c r="D9" s="180">
        <f>'3. % BY PRIORITY'!G72</f>
        <v>0.9642857142857143</v>
      </c>
      <c r="E9" s="136">
        <f>'3. % BY PRIORITY'!C75</f>
        <v>0</v>
      </c>
      <c r="F9" s="130">
        <f>'3. % BY PRIORITY'!G75</f>
        <v>0</v>
      </c>
      <c r="G9" s="135">
        <f>'3. % BY PRIORITY'!C79+'3. % BY PRIORITY'!C80</f>
        <v>1</v>
      </c>
      <c r="H9" s="132">
        <f>'3. % BY PRIORITY'!G79</f>
        <v>3.5714285714285712E-2</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row>
    <row r="10" spans="1:40" s="115" customFormat="1" ht="21.75" hidden="1" thickTop="1" thickBot="1">
      <c r="A10" s="114"/>
      <c r="B10" s="125" t="s">
        <v>68</v>
      </c>
      <c r="C10" s="116"/>
      <c r="D10" s="181"/>
      <c r="E10" s="116"/>
      <c r="F10" s="181"/>
      <c r="G10" s="116"/>
      <c r="H10" s="182"/>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s="115" customFormat="1" ht="37.5" hidden="1" customHeight="1" thickTop="1" thickBot="1">
      <c r="A11" s="114"/>
      <c r="B11" s="124" t="s">
        <v>78</v>
      </c>
      <c r="C11" s="133">
        <f>'5. % BY PORTFOLIO'!B6+'5. % BY PORTFOLIO'!B7</f>
        <v>20</v>
      </c>
      <c r="D11" s="180">
        <f>'5. % BY PORTFOLIO'!F6</f>
        <v>1</v>
      </c>
      <c r="E11" s="136">
        <f>'5. % BY PORTFOLIO'!B9</f>
        <v>0</v>
      </c>
      <c r="F11" s="130">
        <f>'5. % BY PORTFOLIO'!F9</f>
        <v>0</v>
      </c>
      <c r="G11" s="135">
        <f>'5. % BY PORTFOLIO'!B13+'5. % BY PORTFOLIO'!B14</f>
        <v>0</v>
      </c>
      <c r="H11" s="132">
        <f>'5. % BY PORTFOLIO'!F13</f>
        <v>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row>
    <row r="12" spans="1:40" s="115" customFormat="1" ht="37.5" hidden="1" customHeight="1" thickTop="1" thickBot="1">
      <c r="A12" s="114"/>
      <c r="B12" s="124" t="s">
        <v>90</v>
      </c>
      <c r="C12" s="133">
        <f>'5. % BY PORTFOLIO'!B29+'5. % BY PORTFOLIO'!B30</f>
        <v>21</v>
      </c>
      <c r="D12" s="180">
        <f>'5. % BY PORTFOLIO'!F29</f>
        <v>1</v>
      </c>
      <c r="E12" s="137">
        <f>'5. % BY PORTFOLIO'!B54</f>
        <v>0</v>
      </c>
      <c r="F12" s="130">
        <f>'5. % BY PORTFOLIO'!F32</f>
        <v>0</v>
      </c>
      <c r="G12" s="135">
        <f>'5. % BY PORTFOLIO'!B13+'5. % BY PORTFOLIO'!B14</f>
        <v>0</v>
      </c>
      <c r="H12" s="132">
        <f>'5. % BY PORTFOLIO'!F36</f>
        <v>0</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row>
    <row r="13" spans="1:40" s="115" customFormat="1" ht="37.5" hidden="1" customHeight="1" thickTop="1" thickBot="1">
      <c r="A13" s="114"/>
      <c r="B13" s="124" t="s">
        <v>98</v>
      </c>
      <c r="C13" s="133">
        <f>'5. % BY PORTFOLIO'!B51+'5. % BY PORTFOLIO'!B52</f>
        <v>12</v>
      </c>
      <c r="D13" s="180">
        <f>'5. % BY PORTFOLIO'!F51</f>
        <v>1</v>
      </c>
      <c r="E13" s="137">
        <f>'5. % BY PORTFOLIO'!B54</f>
        <v>0</v>
      </c>
      <c r="F13" s="130">
        <f>'5. % BY PORTFOLIO'!F54</f>
        <v>0</v>
      </c>
      <c r="G13" s="135">
        <f>'5. % BY PORTFOLIO'!B58+'5. % BY PORTFOLIO'!B59</f>
        <v>0</v>
      </c>
      <c r="H13" s="132">
        <f>'5. % BY PORTFOLIO'!F58</f>
        <v>0</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row>
    <row r="14" spans="1:40" s="115" customFormat="1" ht="37.5" hidden="1" customHeight="1" thickTop="1" thickBot="1">
      <c r="A14" s="114"/>
      <c r="B14" s="124" t="s">
        <v>97</v>
      </c>
      <c r="C14" s="133">
        <f>'5. % BY PORTFOLIO'!B73+'5. % BY PORTFOLIO'!B74</f>
        <v>9</v>
      </c>
      <c r="D14" s="180">
        <f>'5. % BY PORTFOLIO'!F73</f>
        <v>1</v>
      </c>
      <c r="E14" s="137">
        <f>'5. % BY PORTFOLIO'!B76</f>
        <v>0</v>
      </c>
      <c r="F14" s="130">
        <f>'5. % BY PORTFOLIO'!F76</f>
        <v>0</v>
      </c>
      <c r="G14" s="135">
        <f>'5. % BY PORTFOLIO'!B80+'5. % BY PORTFOLIO'!B81</f>
        <v>0</v>
      </c>
      <c r="H14" s="132">
        <f>'5. % BY PORTFOLIO'!F80</f>
        <v>0</v>
      </c>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row>
    <row r="15" spans="1:40" s="115" customFormat="1" ht="37.5" hidden="1" customHeight="1" thickTop="1" thickBot="1">
      <c r="A15" s="114"/>
      <c r="B15" s="124" t="s">
        <v>99</v>
      </c>
      <c r="C15" s="133">
        <f>'5. % BY PORTFOLIO'!B95+'5. % BY PORTFOLIO'!B96</f>
        <v>11</v>
      </c>
      <c r="D15" s="180">
        <f>'5. % BY PORTFOLIO'!F95</f>
        <v>1</v>
      </c>
      <c r="E15" s="137">
        <f>'5. % BY PORTFOLIO'!B98</f>
        <v>0</v>
      </c>
      <c r="F15" s="130">
        <f>'5. % BY PORTFOLIO'!F98</f>
        <v>0</v>
      </c>
      <c r="G15" s="135">
        <f>'5. % BY PORTFOLIO'!B102+'5. % BY PORTFOLIO'!B103</f>
        <v>0</v>
      </c>
      <c r="H15" s="132">
        <f>'5. % BY PORTFOLIO'!F102</f>
        <v>0</v>
      </c>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row>
    <row r="16" spans="1:40" s="115" customFormat="1" ht="37.5" hidden="1" customHeight="1" thickTop="1" thickBot="1">
      <c r="A16" s="114"/>
      <c r="B16" s="124" t="s">
        <v>6</v>
      </c>
      <c r="C16" s="133">
        <f>'5. % BY PORTFOLIO'!B117+'5. % BY PORTFOLIO'!B118</f>
        <v>9</v>
      </c>
      <c r="D16" s="180">
        <f>'5. % BY PORTFOLIO'!F117</f>
        <v>1</v>
      </c>
      <c r="E16" s="137">
        <f>'5. % BY PORTFOLIO'!B120</f>
        <v>0</v>
      </c>
      <c r="F16" s="130">
        <f>'5. % BY PORTFOLIO'!F120</f>
        <v>0</v>
      </c>
      <c r="G16" s="135">
        <f>'5. % BY PORTFOLIO'!B124+'5. % BY PORTFOLIO'!B125</f>
        <v>0</v>
      </c>
      <c r="H16" s="132">
        <f>'5. % BY PORTFOLIO'!F124</f>
        <v>0</v>
      </c>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row>
    <row r="17" spans="1:40" s="115" customFormat="1" ht="37.5" hidden="1" customHeight="1" thickTop="1" thickBot="1">
      <c r="A17" s="114"/>
      <c r="B17" s="124" t="s">
        <v>277</v>
      </c>
      <c r="C17" s="133">
        <f>'5. % BY PORTFOLIO'!B139+'5. % BY PORTFOLIO'!B140</f>
        <v>4</v>
      </c>
      <c r="D17" s="180">
        <f>'5. % BY PORTFOLIO'!F139</f>
        <v>0.8</v>
      </c>
      <c r="E17" s="137">
        <f>'5. % BY PORTFOLIO'!B142</f>
        <v>0</v>
      </c>
      <c r="F17" s="130">
        <f>'5. % BY PORTFOLIO'!F142</f>
        <v>0</v>
      </c>
      <c r="G17" s="135">
        <f>'5. % BY PORTFOLIO'!B146+'5. % BY PORTFOLIO'!B147</f>
        <v>1</v>
      </c>
      <c r="H17" s="132">
        <f>'5. % BY PORTFOLIO'!F146</f>
        <v>0.2</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row>
    <row r="18" spans="1:40" s="30" customFormat="1" ht="15.75" thickTop="1">
      <c r="D18" s="119"/>
    </row>
    <row r="19" spans="1:40" s="30" customFormat="1">
      <c r="D19" s="119"/>
    </row>
    <row r="20" spans="1:40" s="30" customFormat="1">
      <c r="D20" s="119"/>
    </row>
    <row r="21" spans="1:40" s="30" customFormat="1">
      <c r="D21" s="119"/>
    </row>
    <row r="22" spans="1:40" s="30" customFormat="1">
      <c r="D22" s="119"/>
    </row>
    <row r="23" spans="1:40" s="30" customFormat="1">
      <c r="D23" s="119"/>
    </row>
    <row r="24" spans="1:40" s="30" customFormat="1">
      <c r="D24" s="119"/>
    </row>
    <row r="25" spans="1:40" s="30" customFormat="1">
      <c r="D25" s="119"/>
    </row>
    <row r="26" spans="1:40" s="30" customFormat="1">
      <c r="D26" s="119"/>
    </row>
    <row r="27" spans="1:40" s="30" customFormat="1">
      <c r="D27" s="119"/>
    </row>
    <row r="28" spans="1:40" s="30" customFormat="1">
      <c r="D28" s="119"/>
    </row>
    <row r="29" spans="1:40" s="30" customFormat="1">
      <c r="D29" s="119"/>
    </row>
    <row r="30" spans="1:40" s="30" customFormat="1">
      <c r="D30" s="119"/>
    </row>
    <row r="31" spans="1:40" s="30" customFormat="1">
      <c r="D31" s="119"/>
    </row>
    <row r="32" spans="1:40" s="30" customFormat="1">
      <c r="D32" s="119"/>
    </row>
    <row r="33" spans="4:4" s="30" customFormat="1">
      <c r="D33" s="119"/>
    </row>
    <row r="34" spans="4:4" s="30" customFormat="1">
      <c r="D34" s="119"/>
    </row>
    <row r="35" spans="4:4" s="30" customFormat="1">
      <c r="D35" s="119"/>
    </row>
    <row r="36" spans="4:4" s="30" customFormat="1">
      <c r="D36" s="119"/>
    </row>
    <row r="37" spans="4:4" s="30" customFormat="1">
      <c r="D37" s="119"/>
    </row>
    <row r="38" spans="4:4" s="30" customFormat="1">
      <c r="D38" s="119"/>
    </row>
    <row r="39" spans="4:4" s="30" customFormat="1">
      <c r="D39" s="119"/>
    </row>
    <row r="40" spans="4:4" s="30" customFormat="1">
      <c r="D40" s="119"/>
    </row>
    <row r="41" spans="4:4" s="30" customFormat="1">
      <c r="D41" s="119"/>
    </row>
    <row r="42" spans="4:4" s="30" customFormat="1">
      <c r="D42" s="119"/>
    </row>
    <row r="43" spans="4:4" s="30" customFormat="1">
      <c r="D43" s="119"/>
    </row>
    <row r="44" spans="4:4" s="30" customFormat="1">
      <c r="D44" s="119"/>
    </row>
    <row r="45" spans="4:4" s="30" customFormat="1">
      <c r="D45" s="119"/>
    </row>
    <row r="46" spans="4:4" s="30" customFormat="1">
      <c r="D46" s="119"/>
    </row>
    <row r="47" spans="4:4" s="30" customFormat="1">
      <c r="D47" s="119"/>
    </row>
    <row r="48" spans="4:4" s="30" customFormat="1">
      <c r="D48" s="119"/>
    </row>
  </sheetData>
  <mergeCells count="4">
    <mergeCell ref="B2:B3"/>
    <mergeCell ref="C2:D2"/>
    <mergeCell ref="E2:F2"/>
    <mergeCell ref="G2:H2"/>
  </mergeCells>
  <hyperlinks>
    <hyperlink ref="B1" location="INDEX!A1" display="Back to 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AN48"/>
  <sheetViews>
    <sheetView topLeftCell="A4" zoomScale="70" zoomScaleNormal="70" workbookViewId="0">
      <selection activeCell="A10" sqref="A10:XFD17"/>
    </sheetView>
  </sheetViews>
  <sheetFormatPr defaultColWidth="9.140625" defaultRowHeight="15"/>
  <cols>
    <col min="1" max="1" width="9.140625" style="30"/>
    <col min="2" max="2" width="49.5703125" style="23" customWidth="1"/>
    <col min="3" max="3" width="27.140625" style="23" customWidth="1"/>
    <col min="4" max="4" width="27.140625" style="122" customWidth="1"/>
    <col min="5" max="8" width="27.140625" style="23" customWidth="1"/>
    <col min="9" max="40" width="9.140625" style="30"/>
    <col min="41" max="16384" width="9.140625" style="23"/>
  </cols>
  <sheetData>
    <row r="1" spans="1:40" s="30" customFormat="1" ht="33" customHeight="1" thickBot="1">
      <c r="B1" s="33" t="s">
        <v>76</v>
      </c>
      <c r="D1" s="119"/>
    </row>
    <row r="2" spans="1:40" ht="40.5" customHeight="1" thickTop="1" thickBot="1">
      <c r="B2" s="501" t="s">
        <v>373</v>
      </c>
      <c r="C2" s="503" t="s">
        <v>20</v>
      </c>
      <c r="D2" s="504"/>
      <c r="E2" s="505" t="s">
        <v>21</v>
      </c>
      <c r="F2" s="506"/>
      <c r="G2" s="507" t="s">
        <v>22</v>
      </c>
      <c r="H2" s="508"/>
    </row>
    <row r="3" spans="1:40" ht="50.25" customHeight="1" thickTop="1" thickBot="1">
      <c r="B3" s="502"/>
      <c r="C3" s="128" t="s">
        <v>64</v>
      </c>
      <c r="D3" s="121" t="s">
        <v>26</v>
      </c>
      <c r="E3" s="129" t="s">
        <v>64</v>
      </c>
      <c r="F3" s="130" t="s">
        <v>26</v>
      </c>
      <c r="G3" s="131" t="s">
        <v>64</v>
      </c>
      <c r="H3" s="132" t="s">
        <v>26</v>
      </c>
    </row>
    <row r="4" spans="1:40" s="24" customFormat="1" ht="21.75" thickTop="1" thickBot="1">
      <c r="A4" s="31"/>
      <c r="B4" s="117" t="s">
        <v>65</v>
      </c>
      <c r="C4" s="67"/>
      <c r="D4" s="120"/>
      <c r="E4" s="67"/>
      <c r="F4" s="67"/>
      <c r="G4" s="67"/>
      <c r="H4" s="118"/>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row>
    <row r="5" spans="1:40" s="115" customFormat="1" ht="37.5" customHeight="1" thickTop="1" thickBot="1">
      <c r="A5" s="114"/>
      <c r="B5" s="123" t="s">
        <v>66</v>
      </c>
      <c r="C5" s="133">
        <f>'3. % BY PRIORITY'!J6+'3. % BY PRIORITY'!J7</f>
        <v>103</v>
      </c>
      <c r="D5" s="180">
        <f>'3. % BY PRIORITY'!N6</f>
        <v>0.99038461538461542</v>
      </c>
      <c r="E5" s="134">
        <f>'3. % BY PRIORITY'!J9</f>
        <v>0</v>
      </c>
      <c r="F5" s="130">
        <f>'3. % BY PRIORITY'!N9</f>
        <v>0</v>
      </c>
      <c r="G5" s="135">
        <f>'3. % BY PRIORITY'!J13+'3. % BY PRIORITY'!J14</f>
        <v>1</v>
      </c>
      <c r="H5" s="132">
        <f>'3. % BY PRIORITY'!N13</f>
        <v>9.6153846153846159E-3</v>
      </c>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row>
    <row r="6" spans="1:40" s="115" customFormat="1" ht="21.75" thickTop="1" thickBot="1">
      <c r="A6" s="114"/>
      <c r="B6" s="125" t="s">
        <v>67</v>
      </c>
      <c r="C6" s="116"/>
      <c r="D6" s="181"/>
      <c r="E6" s="116"/>
      <c r="F6" s="181"/>
      <c r="G6" s="116"/>
      <c r="H6" s="182"/>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row>
    <row r="7" spans="1:40" s="115" customFormat="1" ht="37.5" customHeight="1" thickTop="1" thickBot="1">
      <c r="A7" s="114"/>
      <c r="B7" s="123" t="s">
        <v>200</v>
      </c>
      <c r="C7" s="133">
        <f>'3. % BY PRIORITY'!J28+'3. % BY PRIORITY'!J29</f>
        <v>53</v>
      </c>
      <c r="D7" s="180">
        <f>'3. % BY PRIORITY'!N28</f>
        <v>1</v>
      </c>
      <c r="E7" s="136">
        <f>'3. % BY PRIORITY'!J31</f>
        <v>0</v>
      </c>
      <c r="F7" s="130">
        <f>'3. % BY PRIORITY'!N31</f>
        <v>0</v>
      </c>
      <c r="G7" s="135">
        <f>'3. % BY PRIORITY'!J35+'3. % BY PRIORITY'!J36</f>
        <v>0</v>
      </c>
      <c r="H7" s="132">
        <f>'3. % BY PRIORITY'!N35</f>
        <v>0</v>
      </c>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row>
    <row r="8" spans="1:40" s="115" customFormat="1" ht="37.5" customHeight="1" thickTop="1" thickBot="1">
      <c r="A8" s="114"/>
      <c r="B8" s="123" t="s">
        <v>201</v>
      </c>
      <c r="C8" s="133">
        <f>'3. % BY PRIORITY'!J50+'3. % BY PRIORITY'!J51</f>
        <v>18</v>
      </c>
      <c r="D8" s="180">
        <f>'3. % BY PRIORITY'!N50</f>
        <v>1</v>
      </c>
      <c r="E8" s="136">
        <f>'3. % BY PRIORITY'!J53</f>
        <v>0</v>
      </c>
      <c r="F8" s="130">
        <f>'3. % BY PRIORITY'!N53</f>
        <v>0</v>
      </c>
      <c r="G8" s="135">
        <f>'3. % BY PRIORITY'!J57+'3. % BY PRIORITY'!J58</f>
        <v>0</v>
      </c>
      <c r="H8" s="132">
        <f>'3. % BY PRIORITY'!N57</f>
        <v>0</v>
      </c>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row>
    <row r="9" spans="1:40" s="115" customFormat="1" ht="37.5" customHeight="1" thickTop="1" thickBot="1">
      <c r="A9" s="114"/>
      <c r="B9" s="123" t="s">
        <v>202</v>
      </c>
      <c r="C9" s="133">
        <f>'3. % BY PRIORITY'!J72+'3. % BY PRIORITY'!J73</f>
        <v>32</v>
      </c>
      <c r="D9" s="180">
        <f>'3. % BY PRIORITY'!N72</f>
        <v>0.96969696969696972</v>
      </c>
      <c r="E9" s="136">
        <f>'3. % BY PRIORITY'!J75</f>
        <v>0</v>
      </c>
      <c r="F9" s="130">
        <f>'3. % BY PRIORITY'!N75</f>
        <v>0</v>
      </c>
      <c r="G9" s="135">
        <f>'3. % BY PRIORITY'!J79+'3. % BY PRIORITY'!J80</f>
        <v>1</v>
      </c>
      <c r="H9" s="132">
        <f>'3. % BY PRIORITY'!N79</f>
        <v>3.0303030303030304E-2</v>
      </c>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row>
    <row r="10" spans="1:40" s="115" customFormat="1" ht="21.75" hidden="1" thickTop="1" thickBot="1">
      <c r="A10" s="114"/>
      <c r="B10" s="125" t="s">
        <v>68</v>
      </c>
      <c r="C10" s="116"/>
      <c r="D10" s="181"/>
      <c r="E10" s="116"/>
      <c r="F10" s="181"/>
      <c r="G10" s="116"/>
      <c r="H10" s="182"/>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s="115" customFormat="1" ht="37.5" hidden="1" customHeight="1" thickTop="1" thickBot="1">
      <c r="A11" s="114"/>
      <c r="B11" s="124" t="s">
        <v>78</v>
      </c>
      <c r="C11" s="133">
        <f>'5. % BY PORTFOLIO'!I6+'5. % BY PORTFOLIO'!I7</f>
        <v>28</v>
      </c>
      <c r="D11" s="180">
        <f>'5. % BY PORTFOLIO'!M6</f>
        <v>1</v>
      </c>
      <c r="E11" s="136">
        <f>'5. % BY PORTFOLIO'!I9</f>
        <v>0</v>
      </c>
      <c r="F11" s="130">
        <f>'5. % BY PORTFOLIO'!M9</f>
        <v>0</v>
      </c>
      <c r="G11" s="135">
        <f>'5. % BY PORTFOLIO'!I13+'5. % BY PORTFOLIO'!I14</f>
        <v>0</v>
      </c>
      <c r="H11" s="132">
        <f>'5. % BY PORTFOLIO'!M13</f>
        <v>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row>
    <row r="12" spans="1:40" s="115" customFormat="1" ht="37.5" hidden="1" customHeight="1" thickTop="1" thickBot="1">
      <c r="A12" s="114"/>
      <c r="B12" s="124" t="s">
        <v>90</v>
      </c>
      <c r="C12" s="133">
        <f>'5. % BY PORTFOLIO'!I29+'5. % BY PORTFOLIO'!I30</f>
        <v>22</v>
      </c>
      <c r="D12" s="180">
        <f>'5. % BY PORTFOLIO'!M29</f>
        <v>1</v>
      </c>
      <c r="E12" s="137">
        <f>'5. % BY PORTFOLIO'!I32</f>
        <v>0</v>
      </c>
      <c r="F12" s="130">
        <f>'5. % BY PORTFOLIO'!M32</f>
        <v>0</v>
      </c>
      <c r="G12" s="135">
        <f>'5. % BY PORTFOLIO'!I36+'5. % BY PORTFOLIO'!I37</f>
        <v>0</v>
      </c>
      <c r="H12" s="132">
        <f>'5. % BY PORTFOLIO'!M36</f>
        <v>0</v>
      </c>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row>
    <row r="13" spans="1:40" s="115" customFormat="1" ht="37.5" hidden="1" customHeight="1" thickTop="1" thickBot="1">
      <c r="A13" s="114"/>
      <c r="B13" s="124" t="s">
        <v>98</v>
      </c>
      <c r="C13" s="133">
        <f>'5. % BY PORTFOLIO'!I51+'5. % BY PORTFOLIO'!I52</f>
        <v>13</v>
      </c>
      <c r="D13" s="180">
        <f>'5. % BY PORTFOLIO'!M51</f>
        <v>1</v>
      </c>
      <c r="E13" s="137">
        <f>'5. % BY PORTFOLIO'!I54</f>
        <v>0</v>
      </c>
      <c r="F13" s="130">
        <f>'5. % BY PORTFOLIO'!M54</f>
        <v>0</v>
      </c>
      <c r="G13" s="135">
        <f>'5. % BY PORTFOLIO'!I58+'5. % BY PORTFOLIO'!I59</f>
        <v>0</v>
      </c>
      <c r="H13" s="132">
        <f>'5. % BY PORTFOLIO'!M58</f>
        <v>0</v>
      </c>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row>
    <row r="14" spans="1:40" s="115" customFormat="1" ht="37.5" hidden="1" customHeight="1" thickTop="1" thickBot="1">
      <c r="A14" s="114"/>
      <c r="B14" s="124" t="s">
        <v>97</v>
      </c>
      <c r="C14" s="133">
        <f>'5. % BY PORTFOLIO'!I73+'5. % BY PORTFOLIO'!I74</f>
        <v>13</v>
      </c>
      <c r="D14" s="180">
        <f>'5. % BY PORTFOLIO'!M73</f>
        <v>1</v>
      </c>
      <c r="E14" s="137">
        <f>'5. % BY PORTFOLIO'!I76</f>
        <v>0</v>
      </c>
      <c r="F14" s="130">
        <f>'5. % BY PORTFOLIO'!M76</f>
        <v>0</v>
      </c>
      <c r="G14" s="135">
        <f>'5. % BY PORTFOLIO'!I80+'5. % BY PORTFOLIO'!I81</f>
        <v>0</v>
      </c>
      <c r="H14" s="132">
        <f>'5. % BY PORTFOLIO'!M80</f>
        <v>0</v>
      </c>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row>
    <row r="15" spans="1:40" s="115" customFormat="1" ht="37.5" hidden="1" customHeight="1" thickTop="1" thickBot="1">
      <c r="A15" s="114"/>
      <c r="B15" s="124" t="s">
        <v>99</v>
      </c>
      <c r="C15" s="133">
        <f>'5. % BY PORTFOLIO'!I95+'5. % BY PORTFOLIO'!I96</f>
        <v>13</v>
      </c>
      <c r="D15" s="180">
        <f>'5. % BY PORTFOLIO'!M95</f>
        <v>1</v>
      </c>
      <c r="E15" s="137">
        <f>'5. % BY PORTFOLIO'!I98</f>
        <v>0</v>
      </c>
      <c r="F15" s="130">
        <f>'5. % BY PORTFOLIO'!M98</f>
        <v>0</v>
      </c>
      <c r="G15" s="135">
        <f>'5. % BY PORTFOLIO'!I102+'5. % BY PORTFOLIO'!I103</f>
        <v>0</v>
      </c>
      <c r="H15" s="132">
        <f>'5. % BY PORTFOLIO'!M102</f>
        <v>0</v>
      </c>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row>
    <row r="16" spans="1:40" s="115" customFormat="1" ht="37.5" hidden="1" customHeight="1" thickTop="1" thickBot="1">
      <c r="A16" s="114"/>
      <c r="B16" s="124" t="s">
        <v>6</v>
      </c>
      <c r="C16" s="133">
        <f>'5. % BY PORTFOLIO'!I117+'5. % BY PORTFOLIO'!I118</f>
        <v>10</v>
      </c>
      <c r="D16" s="180">
        <f>'5. % BY PORTFOLIO'!M117</f>
        <v>1</v>
      </c>
      <c r="E16" s="137">
        <f>'5. % BY PORTFOLIO'!I120</f>
        <v>0</v>
      </c>
      <c r="F16" s="130">
        <f>'5. % BY PORTFOLIO'!M120</f>
        <v>0</v>
      </c>
      <c r="G16" s="135">
        <f>'5. % BY PORTFOLIO'!I124+'5. % BY PORTFOLIO'!I125</f>
        <v>0</v>
      </c>
      <c r="H16" s="132">
        <f>'5. % BY PORTFOLIO'!M124</f>
        <v>0</v>
      </c>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row>
    <row r="17" spans="1:40" s="115" customFormat="1" ht="37.5" hidden="1" customHeight="1" thickTop="1" thickBot="1">
      <c r="A17" s="114"/>
      <c r="B17" s="124" t="s">
        <v>277</v>
      </c>
      <c r="C17" s="133">
        <f>'5. % BY PORTFOLIO'!I139+'5. % BY PORTFOLIO'!I140</f>
        <v>4</v>
      </c>
      <c r="D17" s="180">
        <f>'5. % BY PORTFOLIO'!M139</f>
        <v>0.8</v>
      </c>
      <c r="E17" s="137">
        <f>'5. % BY PORTFOLIO'!I142</f>
        <v>0</v>
      </c>
      <c r="F17" s="130">
        <f>'5. % BY PORTFOLIO'!M142</f>
        <v>0</v>
      </c>
      <c r="G17" s="135">
        <f>'5. % BY PORTFOLIO'!I146+'5. % BY PORTFOLIO'!I147</f>
        <v>1</v>
      </c>
      <c r="H17" s="132">
        <f>'5. % BY PORTFOLIO'!M146</f>
        <v>0.2</v>
      </c>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row>
    <row r="18" spans="1:40" s="30" customFormat="1" ht="15.75" thickTop="1">
      <c r="D18" s="119"/>
    </row>
    <row r="19" spans="1:40" s="30" customFormat="1">
      <c r="D19" s="119"/>
    </row>
    <row r="20" spans="1:40" s="30" customFormat="1">
      <c r="D20" s="119"/>
    </row>
    <row r="21" spans="1:40" s="30" customFormat="1">
      <c r="D21" s="119"/>
    </row>
    <row r="22" spans="1:40" s="30" customFormat="1">
      <c r="D22" s="119"/>
    </row>
    <row r="23" spans="1:40" s="30" customFormat="1">
      <c r="D23" s="119"/>
    </row>
    <row r="24" spans="1:40" s="30" customFormat="1">
      <c r="D24" s="119"/>
    </row>
    <row r="25" spans="1:40" s="30" customFormat="1">
      <c r="D25" s="119"/>
    </row>
    <row r="26" spans="1:40" s="30" customFormat="1">
      <c r="D26" s="119"/>
    </row>
    <row r="27" spans="1:40" s="30" customFormat="1">
      <c r="D27" s="119"/>
    </row>
    <row r="28" spans="1:40" s="30" customFormat="1">
      <c r="D28" s="119"/>
    </row>
    <row r="29" spans="1:40" s="30" customFormat="1">
      <c r="D29" s="119"/>
    </row>
    <row r="30" spans="1:40" s="30" customFormat="1">
      <c r="D30" s="119"/>
    </row>
    <row r="31" spans="1:40" s="30" customFormat="1">
      <c r="D31" s="119"/>
    </row>
    <row r="32" spans="1:40" s="30" customFormat="1">
      <c r="D32" s="119"/>
    </row>
    <row r="33" spans="4:4" s="30" customFormat="1">
      <c r="D33" s="119"/>
    </row>
    <row r="34" spans="4:4" s="30" customFormat="1">
      <c r="D34" s="119"/>
    </row>
    <row r="35" spans="4:4" s="30" customFormat="1">
      <c r="D35" s="119"/>
    </row>
    <row r="36" spans="4:4" s="30" customFormat="1">
      <c r="D36" s="119"/>
    </row>
    <row r="37" spans="4:4" s="30" customFormat="1">
      <c r="D37" s="119"/>
    </row>
    <row r="38" spans="4:4" s="30" customFormat="1">
      <c r="D38" s="119"/>
    </row>
    <row r="39" spans="4:4" s="30" customFormat="1">
      <c r="D39" s="119"/>
    </row>
    <row r="40" spans="4:4" s="30" customFormat="1">
      <c r="D40" s="119"/>
    </row>
    <row r="41" spans="4:4" s="30" customFormat="1">
      <c r="D41" s="119"/>
    </row>
    <row r="42" spans="4:4" s="30" customFormat="1">
      <c r="D42" s="119"/>
    </row>
    <row r="43" spans="4:4" s="30" customFormat="1">
      <c r="D43" s="119"/>
    </row>
    <row r="44" spans="4:4" s="30" customFormat="1">
      <c r="D44" s="119"/>
    </row>
    <row r="45" spans="4:4" s="30" customFormat="1">
      <c r="D45" s="119"/>
    </row>
    <row r="46" spans="4:4" s="30" customFormat="1">
      <c r="D46" s="119"/>
    </row>
    <row r="47" spans="4:4" s="30" customFormat="1">
      <c r="D47" s="119"/>
    </row>
    <row r="48" spans="4:4" s="30" customFormat="1">
      <c r="D48" s="119"/>
    </row>
  </sheetData>
  <mergeCells count="4">
    <mergeCell ref="B2:B3"/>
    <mergeCell ref="C2:D2"/>
    <mergeCell ref="E2:F2"/>
    <mergeCell ref="G2:H2"/>
  </mergeCells>
  <hyperlinks>
    <hyperlink ref="B1" location="INDEX!A1" display="Back to inde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135</vt:i4>
      </vt:variant>
    </vt:vector>
  </HeadingPairs>
  <TitlesOfParts>
    <vt:vector size="148" baseType="lpstr">
      <vt:lpstr>INDEX</vt:lpstr>
      <vt:lpstr>1. ALL DATA</vt:lpstr>
      <vt:lpstr>2. STATUS TRACKING</vt:lpstr>
      <vt:lpstr>3. % BY PRIORITY</vt:lpstr>
      <vt:lpstr>4. CHARTS BY PRIORITY</vt:lpstr>
      <vt:lpstr>5. % BY PORTFOLIO</vt:lpstr>
      <vt:lpstr>6. CHARTS BY PORTFOLIO</vt:lpstr>
      <vt:lpstr>Q1. SUMMARY</vt:lpstr>
      <vt:lpstr>Q2. SUMMARY</vt:lpstr>
      <vt:lpstr>Q3. SUMMARY</vt:lpstr>
      <vt:lpstr>Q4. SUMMARY</vt:lpstr>
      <vt:lpstr>CUSTOM PIVOT</vt:lpstr>
      <vt:lpstr>Sheet1</vt:lpstr>
      <vt:lpstr>ALL_TARGETS_Q1</vt:lpstr>
      <vt:lpstr>ALL_TARGETS_Q2</vt:lpstr>
      <vt:lpstr>ALL_TARGETS_Q3</vt:lpstr>
      <vt:lpstr>ALL_TARGETS_Q4</vt:lpstr>
      <vt:lpstr>ALLQ1</vt:lpstr>
      <vt:lpstr>ALLQ2</vt:lpstr>
      <vt:lpstr>ALLQ3</vt:lpstr>
      <vt:lpstr>ALLQ4</vt:lpstr>
      <vt:lpstr>BECQ1</vt:lpstr>
      <vt:lpstr>BECQ2</vt:lpstr>
      <vt:lpstr>BECQ3</vt:lpstr>
      <vt:lpstr>BECQ4</vt:lpstr>
      <vt:lpstr>CSCQ1</vt:lpstr>
      <vt:lpstr>CSCQ2</vt:lpstr>
      <vt:lpstr>CSCQ3</vt:lpstr>
      <vt:lpstr>CSCQ4</vt:lpstr>
      <vt:lpstr>CULT1</vt:lpstr>
      <vt:lpstr>CULT2</vt:lpstr>
      <vt:lpstr>CULT3</vt:lpstr>
      <vt:lpstr>CULT4</vt:lpstr>
      <vt:lpstr>CULTUR0</vt:lpstr>
      <vt:lpstr>CULTUR1</vt:lpstr>
      <vt:lpstr>CULTUR2</vt:lpstr>
      <vt:lpstr>CULTUR3</vt:lpstr>
      <vt:lpstr>CULTUR4</vt:lpstr>
      <vt:lpstr>CustomPivot</vt:lpstr>
      <vt:lpstr>'5. % BY PORTFOLIO'!ELE_Q1</vt:lpstr>
      <vt:lpstr>ELE_Q1</vt:lpstr>
      <vt:lpstr>'5. % BY PORTFOLIO'!ELE_Q2</vt:lpstr>
      <vt:lpstr>ELE_Q2</vt:lpstr>
      <vt:lpstr>'5. % BY PORTFOLIO'!ELE_Q3</vt:lpstr>
      <vt:lpstr>ELE_Q3</vt:lpstr>
      <vt:lpstr>'5. % BY PORTFOLIO'!ELE_Q4</vt:lpstr>
      <vt:lpstr>ELE_Q4</vt:lpstr>
      <vt:lpstr>ELEQ1</vt:lpstr>
      <vt:lpstr>ELEQ2</vt:lpstr>
      <vt:lpstr>ELEQ3</vt:lpstr>
      <vt:lpstr>ELEQ4</vt:lpstr>
      <vt:lpstr>'5. % BY PORTFOLIO'!ELTB_Q1</vt:lpstr>
      <vt:lpstr>ELTB_Q1</vt:lpstr>
      <vt:lpstr>'5. % BY PORTFOLIO'!ELTB_Q2</vt:lpstr>
      <vt:lpstr>ELTB_Q2</vt:lpstr>
      <vt:lpstr>'5. % BY PORTFOLIO'!ELTB_Q3</vt:lpstr>
      <vt:lpstr>ELTB_Q3</vt:lpstr>
      <vt:lpstr>'5. % BY PORTFOLIO'!ELTB_Q4</vt:lpstr>
      <vt:lpstr>ELTB_Q4</vt:lpstr>
      <vt:lpstr>ELTBQ1</vt:lpstr>
      <vt:lpstr>ELTBQ2</vt:lpstr>
      <vt:lpstr>ELTBQ3</vt:lpstr>
      <vt:lpstr>ELTBQ4</vt:lpstr>
      <vt:lpstr>ENT_1</vt:lpstr>
      <vt:lpstr>ENTER1</vt:lpstr>
      <vt:lpstr>ENTER2</vt:lpstr>
      <vt:lpstr>ENTER3</vt:lpstr>
      <vt:lpstr>ENTER4</vt:lpstr>
      <vt:lpstr>ENTERP1</vt:lpstr>
      <vt:lpstr>ENTERP2</vt:lpstr>
      <vt:lpstr>ENTERP3</vt:lpstr>
      <vt:lpstr>ENTERP4</vt:lpstr>
      <vt:lpstr>FINANC0</vt:lpstr>
      <vt:lpstr>FINANC1</vt:lpstr>
      <vt:lpstr>FINANC2</vt:lpstr>
      <vt:lpstr>FINANC3</vt:lpstr>
      <vt:lpstr>FINANC4</vt:lpstr>
      <vt:lpstr>FINANCE1</vt:lpstr>
      <vt:lpstr>FINANCE2</vt:lpstr>
      <vt:lpstr>FINANCE3</vt:lpstr>
      <vt:lpstr>FINANCE4</vt:lpstr>
      <vt:lpstr>LEADER0</vt:lpstr>
      <vt:lpstr>LEADER1</vt:lpstr>
      <vt:lpstr>LEADER2</vt:lpstr>
      <vt:lpstr>LEADER3</vt:lpstr>
      <vt:lpstr>LEADER4</vt:lpstr>
      <vt:lpstr>'1. ALL DATA'!OLE_LINK3</vt:lpstr>
      <vt:lpstr>PARTC1</vt:lpstr>
      <vt:lpstr>PARTC2</vt:lpstr>
      <vt:lpstr>PARTC3</vt:lpstr>
      <vt:lpstr>PARTC4</vt:lpstr>
      <vt:lpstr>PLAN1</vt:lpstr>
      <vt:lpstr>PLAN2</vt:lpstr>
      <vt:lpstr>PLAN3</vt:lpstr>
      <vt:lpstr>PLAN4</vt:lpstr>
      <vt:lpstr>PLANNING0</vt:lpstr>
      <vt:lpstr>PLANNING1</vt:lpstr>
      <vt:lpstr>PLANNING2</vt:lpstr>
      <vt:lpstr>PLANNING3</vt:lpstr>
      <vt:lpstr>PLANNING4</vt:lpstr>
      <vt:lpstr>PLEG_1617</vt:lpstr>
      <vt:lpstr>'1. ALL DATA'!Print_Area</vt:lpstr>
      <vt:lpstr>'1. ALL DATA'!Print_Titles</vt:lpstr>
      <vt:lpstr>PSC_1617</vt:lpstr>
      <vt:lpstr>PWBQ1</vt:lpstr>
      <vt:lpstr>Q1_Leader</vt:lpstr>
      <vt:lpstr>Q2_Leader</vt:lpstr>
      <vt:lpstr>Q3LEADER</vt:lpstr>
      <vt:lpstr>Q4_Leader</vt:lpstr>
      <vt:lpstr>'5. % BY PORTFOLIO'!RBV_Q1</vt:lpstr>
      <vt:lpstr>RBV_Q1</vt:lpstr>
      <vt:lpstr>'5. % BY PORTFOLIO'!RBV_Q2</vt:lpstr>
      <vt:lpstr>RBV_Q2</vt:lpstr>
      <vt:lpstr>'5. % BY PORTFOLIO'!RBV_Q3</vt:lpstr>
      <vt:lpstr>RBV_Q3</vt:lpstr>
      <vt:lpstr>'5. % BY PORTFOLIO'!RBV_Q4</vt:lpstr>
      <vt:lpstr>RBV_Q4</vt:lpstr>
      <vt:lpstr>RBVQ1</vt:lpstr>
      <vt:lpstr>RBVQ2</vt:lpstr>
      <vt:lpstr>RBVQ3</vt:lpstr>
      <vt:lpstr>RBVQ4</vt:lpstr>
      <vt:lpstr>REGUL1</vt:lpstr>
      <vt:lpstr>REGUL2</vt:lpstr>
      <vt:lpstr>REGUL3</vt:lpstr>
      <vt:lpstr>REGUL4</vt:lpstr>
      <vt:lpstr>REGULATE1</vt:lpstr>
      <vt:lpstr>REGULATE2</vt:lpstr>
      <vt:lpstr>REGULATE3</vt:lpstr>
      <vt:lpstr>REGULATE4</vt:lpstr>
      <vt:lpstr>RSCQ1</vt:lpstr>
      <vt:lpstr>RSCQ2</vt:lpstr>
      <vt:lpstr>RSCQ3</vt:lpstr>
      <vt:lpstr>RSCQ4</vt:lpstr>
      <vt:lpstr>SCCQ1</vt:lpstr>
      <vt:lpstr>SCCQ2</vt:lpstr>
      <vt:lpstr>SCCQ3</vt:lpstr>
      <vt:lpstr>SCCQ4</vt:lpstr>
      <vt:lpstr>TCN_C_O</vt:lpstr>
      <vt:lpstr>TCN_C_Q1</vt:lpstr>
      <vt:lpstr>TCN_C_Q2</vt:lpstr>
      <vt:lpstr>TCN_C_Q3</vt:lpstr>
      <vt:lpstr>TCN_C_Q4</vt:lpstr>
      <vt:lpstr>TCN_C_Q5</vt:lpstr>
      <vt:lpstr>TCN_T_Q1</vt:lpstr>
      <vt:lpstr>TCN_T_Q2</vt:lpstr>
      <vt:lpstr>TCN_T_Q3</vt:lpstr>
      <vt:lpstr>TCN_T_Q4</vt:lpstr>
      <vt:lpstr>VFM_1617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jennifer.norman</dc:creator>
  <cp:lastModifiedBy>Monica Henchcliffe</cp:lastModifiedBy>
  <cp:lastPrinted>2017-03-03T16:00:08Z</cp:lastPrinted>
  <dcterms:created xsi:type="dcterms:W3CDTF">2011-03-30T14:03:44Z</dcterms:created>
  <dcterms:modified xsi:type="dcterms:W3CDTF">2018-03-09T12:11:15Z</dcterms:modified>
</cp:coreProperties>
</file>