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Quarter 2 202021 Performance Reports\03 LAG &amp;LOAG\"/>
    </mc:Choice>
  </mc:AlternateContent>
  <bookViews>
    <workbookView xWindow="0" yWindow="0" windowWidth="20490" windowHeight="7755" tabRatio="884" firstSheet="1" activeTab="1"/>
  </bookViews>
  <sheets>
    <sheet name="Index" sheetId="13" r:id="rId1"/>
    <sheet name="1. All Data" sheetId="1" r:id="rId2"/>
    <sheet name="Q1 Summary" sheetId="9" state="hidden" r:id="rId3"/>
    <sheet name="Q2 Summary" sheetId="14" r:id="rId4"/>
    <sheet name="Q3 Summary" sheetId="15" state="hidden" r:id="rId5"/>
    <sheet name="Q4 Summary" sheetId="16" state="hidden" r:id="rId6"/>
    <sheet name="2a. % By Priority" sheetId="5" r:id="rId7"/>
    <sheet name="2b. Charts by Priority" sheetId="6" r:id="rId8"/>
    <sheet name="3a. % by Portfolio" sheetId="7" r:id="rId9"/>
    <sheet name="3b. Charts by Portfolio" sheetId="8" r:id="rId10"/>
    <sheet name="4. Status Tracking" sheetId="10" r:id="rId11"/>
    <sheet name="Custom Pivot" sheetId="11" r:id="rId12"/>
  </sheets>
  <definedNames>
    <definedName name="_xlnm._FilterDatabase" localSheetId="1" hidden="1">'1. All Data'!$A$2:$AF$111</definedName>
    <definedName name="_Toc382250483" localSheetId="1">'1. All Data'!$C$69</definedName>
    <definedName name="OLE_LINK3" localSheetId="1">'1. All Data'!$E$39</definedName>
    <definedName name="_xlnm.Print_Area" localSheetId="1">'1. All Data'!$B$1:$AF$111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J9" i="5" l="1"/>
  <c r="C50" i="5"/>
  <c r="C41" i="5"/>
  <c r="C40" i="5"/>
  <c r="C39" i="5"/>
  <c r="C38" i="5"/>
  <c r="C36" i="5"/>
  <c r="C35" i="5"/>
  <c r="C31" i="5"/>
  <c r="C29" i="5"/>
  <c r="C28" i="5"/>
  <c r="C6" i="5" l="1"/>
  <c r="X50" i="5" l="1"/>
  <c r="X14" i="5" l="1"/>
  <c r="X13" i="5"/>
  <c r="X11" i="5"/>
  <c r="X10" i="5"/>
  <c r="X9" i="5"/>
  <c r="X96" i="7" l="1"/>
  <c r="X74" i="7"/>
  <c r="X52" i="7"/>
  <c r="X30" i="7"/>
  <c r="X7" i="7"/>
  <c r="X73" i="5"/>
  <c r="X51" i="5"/>
  <c r="X29" i="5"/>
  <c r="X7" i="5"/>
  <c r="X108" i="7" l="1"/>
  <c r="X107" i="7"/>
  <c r="X106" i="7"/>
  <c r="X105" i="7"/>
  <c r="X103" i="7"/>
  <c r="X102" i="7"/>
  <c r="X100" i="7"/>
  <c r="X99" i="7"/>
  <c r="X98" i="7"/>
  <c r="X95" i="7"/>
  <c r="Q95" i="7"/>
  <c r="X86" i="7"/>
  <c r="X85" i="7"/>
  <c r="X84" i="7"/>
  <c r="X83" i="7"/>
  <c r="X81" i="7"/>
  <c r="X80" i="7"/>
  <c r="X78" i="7"/>
  <c r="X77" i="7"/>
  <c r="X76" i="7"/>
  <c r="X73" i="7"/>
  <c r="Q73" i="7"/>
  <c r="X64" i="7"/>
  <c r="X63" i="7"/>
  <c r="X62" i="7"/>
  <c r="X61" i="7"/>
  <c r="X59" i="7"/>
  <c r="X58" i="7"/>
  <c r="X56" i="7"/>
  <c r="X55" i="7"/>
  <c r="X54" i="7"/>
  <c r="X51" i="7"/>
  <c r="Q52" i="7"/>
  <c r="X34" i="7"/>
  <c r="X33" i="7"/>
  <c r="X32" i="7"/>
  <c r="Q32" i="7"/>
  <c r="X36" i="7"/>
  <c r="X42" i="7"/>
  <c r="X41" i="7"/>
  <c r="X40" i="7"/>
  <c r="X39" i="7"/>
  <c r="X37" i="7"/>
  <c r="X29" i="7"/>
  <c r="X11" i="7"/>
  <c r="X10" i="7"/>
  <c r="X9" i="7"/>
  <c r="Q9" i="7"/>
  <c r="X13" i="7"/>
  <c r="X14"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3" i="5" s="1"/>
  <c r="Z51" i="7"/>
  <c r="AA58" i="7"/>
  <c r="AA29" i="7"/>
  <c r="Z102" i="7"/>
  <c r="AA30" i="7"/>
  <c r="AA36" i="7"/>
  <c r="AA74" i="7"/>
  <c r="AA59" i="7"/>
  <c r="AA51" i="7"/>
  <c r="AB51" i="7" s="1"/>
  <c r="D13" i="16" s="1"/>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AB76" i="7" l="1"/>
  <c r="AB98" i="7"/>
  <c r="AB54" i="7"/>
  <c r="F13" i="16" s="1"/>
  <c r="AB32" i="7"/>
  <c r="AB9" i="7"/>
  <c r="Z13" i="5"/>
  <c r="AB13" i="7"/>
  <c r="AA50" i="5"/>
  <c r="AA51" i="5"/>
  <c r="AA57" i="5"/>
  <c r="AA58" i="5"/>
  <c r="AA55" i="5"/>
  <c r="AA53" i="5"/>
  <c r="AA54" i="5"/>
  <c r="AA72" i="5"/>
  <c r="AA73" i="5"/>
  <c r="AA75" i="5"/>
  <c r="AA76" i="5"/>
  <c r="AA77" i="5"/>
  <c r="AA80" i="5"/>
  <c r="AA79" i="5"/>
  <c r="D8" i="16"/>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F5" i="16" s="1"/>
  <c r="AB72" i="5"/>
  <c r="D9" i="16" s="1"/>
  <c r="AB50" i="5"/>
  <c r="AB53" i="5"/>
  <c r="F8" i="16" s="1"/>
  <c r="AB79" i="5"/>
  <c r="H9" i="16" s="1"/>
  <c r="AB28" i="5"/>
  <c r="D7" i="16" s="1"/>
  <c r="AB57" i="5"/>
  <c r="H8" i="16" s="1"/>
  <c r="AB6" i="5"/>
  <c r="C9" i="7"/>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Q108" i="7"/>
  <c r="Q107" i="7"/>
  <c r="Q106" i="7"/>
  <c r="Q105" i="7"/>
  <c r="Q103" i="7"/>
  <c r="Q102" i="7"/>
  <c r="Q98" i="7"/>
  <c r="E15" i="15" s="1"/>
  <c r="Q96" i="7"/>
  <c r="C15" i="15" s="1"/>
  <c r="Q86" i="7"/>
  <c r="Q85" i="7"/>
  <c r="Q84" i="7"/>
  <c r="Q83" i="7"/>
  <c r="Q81" i="7"/>
  <c r="Q80" i="7"/>
  <c r="Q76" i="7"/>
  <c r="E14" i="15" s="1"/>
  <c r="Q74" i="7"/>
  <c r="Q64" i="7"/>
  <c r="Q63" i="7"/>
  <c r="Q62" i="7"/>
  <c r="Q61" i="7"/>
  <c r="Q59" i="7"/>
  <c r="Q58" i="7"/>
  <c r="Q54" i="7"/>
  <c r="E13" i="15" s="1"/>
  <c r="Q51" i="7"/>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G13" i="14" s="1"/>
  <c r="J51" i="7"/>
  <c r="C13" i="14" s="1"/>
  <c r="J42" i="7"/>
  <c r="J41" i="7"/>
  <c r="J40" i="7"/>
  <c r="J39" i="7"/>
  <c r="J37" i="7"/>
  <c r="J36" i="7"/>
  <c r="G12" i="14" s="1"/>
  <c r="J32" i="7"/>
  <c r="E12" i="14" s="1"/>
  <c r="J30" i="7"/>
  <c r="J29" i="7"/>
  <c r="J19" i="7"/>
  <c r="J18" i="7"/>
  <c r="J17" i="7"/>
  <c r="J16" i="7"/>
  <c r="J14" i="7"/>
  <c r="J13" i="7"/>
  <c r="G11" i="14" s="1"/>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2" i="9" l="1"/>
  <c r="C11" i="15"/>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C15" i="14"/>
  <c r="G14"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J43" i="5" s="1"/>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M31" i="5"/>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N50" i="5" l="1"/>
  <c r="G6" i="5"/>
  <c r="G72" i="5"/>
  <c r="D9" i="9" s="1"/>
  <c r="BB24" i="6"/>
  <c r="F7" i="15"/>
  <c r="BB56" i="6"/>
  <c r="F9" i="15"/>
  <c r="BB40" i="6"/>
  <c r="F8" i="15"/>
  <c r="BB8" i="6"/>
  <c r="F5" i="15"/>
  <c r="U6" i="5"/>
  <c r="U13" i="5"/>
  <c r="H8" i="9"/>
  <c r="AZ40" i="6"/>
  <c r="BA24" i="6"/>
  <c r="F7" i="14"/>
  <c r="BA8" i="6"/>
  <c r="F5" i="14"/>
  <c r="BA40" i="6"/>
  <c r="F8" i="14"/>
  <c r="N13"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<sst xmlns="http://schemas.openxmlformats.org/spreadsheetml/2006/main" count="2749" uniqueCount="884">
  <si>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</si>
  <si>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</si>
  <si>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</si>
  <si>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</si>
  <si>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</si>
  <si>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</si>
  <si>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</si>
  <si>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</si>
  <si>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</si>
  <si>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</si>
  <si>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</si>
  <si>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</si>
  <si>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</si>
  <si>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</si>
  <si>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</si>
  <si>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</si>
  <si>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</si>
  <si>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</si>
  <si>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</si>
  <si>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</si>
  <si>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</si>
  <si>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</si>
  <si>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</si>
  <si>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</si>
  <si>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</si>
  <si>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</si>
  <si>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</si>
  <si>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</si>
  <si>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</si>
  <si>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</si>
  <si>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</si>
  <si>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</si>
  <si>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</si>
  <si>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</si>
  <si>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</si>
  <si>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</si>
  <si>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</si>
  <si>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</si>
  <si>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</si>
  <si>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</si>
  <si>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</si>
  <si>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</si>
  <si>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</si>
  <si>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</si>
  <si>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</si>
  <si>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</si>
  <si>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</si>
  <si>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</si>
  <si>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</si>
  <si>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</si>
  <si>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</si>
  <si>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</si>
  <si>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</si>
  <si>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</si>
  <si>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</si>
  <si>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</si>
  <si>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</si>
  <si>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</si>
  <si>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</si>
  <si>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</si>
  <si>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</si>
  <si>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</si>
  <si>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</si>
  <si>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</si>
  <si>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</si>
  <si>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</si>
  <si>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</si>
  <si>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</si>
  <si>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</si>
  <si>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</si>
  <si>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</si>
  <si>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</si>
  <si>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</si>
  <si>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</si>
  <si>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</si>
  <si>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</si>
  <si>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</si>
  <si>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</si>
  <si>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</si>
  <si>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</si>
  <si>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</si>
  <si>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</si>
  <si>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</si>
  <si>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</si>
  <si>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</si>
  <si>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</si>
  <si>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</si>
  <si>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</si>
  <si>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</si>
  <si>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</si>
  <si>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</si>
  <si>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</si>
  <si>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</si>
  <si>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</si>
  <si>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</si>
  <si>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</si>
  <si>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</si>
  <si>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</si>
  <si>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</si>
  <si>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</si>
  <si>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</si>
  <si>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</si>
  <si>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</si>
  <si>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</si>
  <si>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</si>
  <si>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</si>
  <si>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</si>
  <si>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</si>
  <si>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</si>
  <si>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</si>
  <si>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</si>
  <si>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</si>
  <si>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</si>
  <si>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</si>
  <si>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</si>
  <si>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</si>
  <si>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</si>
  <si>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</si>
  <si>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</si>
  <si>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</si>
  <si>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</si>
  <si>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</si>
  <si>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</si>
  <si>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</si>
  <si>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</si>
  <si>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</si>
  <si>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</si>
  <si>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</si>
  <si>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</si>
  <si>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</si>
  <si>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</si>
  <si>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</si>
  <si>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</si>
  <si>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</si>
  <si>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</si>
  <si>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</si>
  <si>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</si>
  <si>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</si>
  <si>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</si>
  <si>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</si>
  <si>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</si>
  <si>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</si>
  <si>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</si>
  <si>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</si>
  <si>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</si>
  <si>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</si>
  <si>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</si>
  <si>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</si>
  <si>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</si>
  <si>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</si>
  <si>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</si>
  <si>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</si>
  <si>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</si>
  <si>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</si>
  <si>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</si>
  <si>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</si>
  <si>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</si>
  <si>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</si>
  <si>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</si>
  <si>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</si>
  <si>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</si>
  <si>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</si>
  <si>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</si>
  <si>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</si>
  <si>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</si>
  <si>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</si>
  <si>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</si>
  <si>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</si>
  <si>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</si>
  <si>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</si>
  <si>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</si>
  <si>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</si>
  <si>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</si>
  <si>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</si>
  <si>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</si>
  <si>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</si>
  <si>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</si>
  <si>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</si>
  <si>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</si>
  <si>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</si>
  <si>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</si>
  <si>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</si>
  <si>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</si>
  <si>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</si>
  <si>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</si>
  <si>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</si>
  <si>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</si>
  <si>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</si>
  <si>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</si>
  <si>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</si>
  <si>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</si>
  <si>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</si>
  <si>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</si>
  <si>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</si>
  <si>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</si>
  <si>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</si>
  <si>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</si>
  <si>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</si>
  <si>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</si>
  <si>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</si>
  <si>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</si>
  <si>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</si>
  <si>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</si>
  <si>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</si>
  <si>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</si>
  <si>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</si>
  <si>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</si>
  <si>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</si>
  <si>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</si>
  <si>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</si>
  <si>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</si>
  <si>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</si>
  <si>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</si>
  <si>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</si>
  <si>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</si>
  <si>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</si>
  <si>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</si>
  <si>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</si>
  <si>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</si>
  <si>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</si>
  <si>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</si>
  <si>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</si>
  <si>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</si>
  <si>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</si>
  <si>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</si>
  <si>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</si>
  <si>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</si>
  <si>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</si>
  <si>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</si>
  <si>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</si>
  <si>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</si>
  <si>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</si>
  <si>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</si>
  <si>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</si>
  <si>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</si>
  <si>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</si>
  <si>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</si>
  <si>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</si>
  <si>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</si>
  <si>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</si>
  <si>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</si>
  <si>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</si>
  <si>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</si>
  <si>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</si>
  <si>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</si>
  <si>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</si>
  <si>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</si>
  <si>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</si>
  <si>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</si>
  <si>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</si>
  <si>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</si>
  <si>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</si>
  <si>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</si>
  <si>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</si>
  <si>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Simon Humble</t>
  </si>
  <si>
    <t>Daniel Arnold</t>
  </si>
  <si>
    <t xml:space="preserve">Respond to Government Policy Announcements </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</si>
  <si>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</si>
  <si>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</si>
  <si>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</si>
  <si>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</si>
  <si>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</si>
  <si>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</si>
  <si>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</si>
  <si>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</si>
  <si>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</si>
  <si>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</si>
  <si>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</si>
  <si>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</si>
  <si>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</si>
  <si>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</si>
  <si>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</si>
  <si>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</si>
  <si>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</si>
  <si>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</si>
  <si>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</si>
  <si>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</si>
  <si>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</si>
  <si>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</si>
  <si>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</si>
  <si>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</si>
  <si>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</si>
  <si>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</si>
  <si>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</si>
  <si>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</si>
  <si>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</si>
  <si>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</si>
  <si>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</si>
  <si>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</si>
  <si>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</si>
  <si>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</si>
  <si>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</si>
  <si>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</si>
  <si>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</si>
  <si>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</si>
  <si>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</si>
  <si>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</si>
  <si>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</si>
  <si>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</si>
  <si>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</si>
  <si>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</si>
  <si>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</si>
  <si>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</si>
  <si>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</si>
  <si>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</si>
  <si>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</si>
  <si>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</si>
  <si>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</si>
  <si>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</si>
  <si>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</si>
  <si>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</si>
  <si>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</si>
  <si>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</si>
  <si>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</si>
  <si>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</si>
  <si>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</si>
  <si>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</si>
  <si>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</si>
  <si>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</si>
  <si>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</si>
  <si>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</si>
  <si>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</si>
  <si>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</si>
  <si>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</si>
  <si>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</si>
  <si>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</si>
  <si>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</si>
  <si>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</si>
  <si>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</si>
  <si>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</si>
  <si>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</si>
  <si>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</si>
  <si>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</si>
  <si>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</si>
  <si>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</si>
  <si>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</si>
  <si>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</si>
  <si>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</si>
  <si>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</si>
  <si>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</si>
  <si>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</si>
  <si>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</si>
  <si>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</si>
  <si>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</si>
  <si>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</si>
  <si>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</si>
  <si>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</si>
  <si>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</si>
  <si>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</si>
  <si>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</si>
  <si>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</si>
  <si>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</si>
  <si>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</si>
  <si>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</si>
  <si>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</si>
  <si>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</si>
  <si>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</si>
  <si>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</si>
  <si>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</si>
  <si>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</si>
  <si>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</si>
  <si>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</si>
  <si>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</si>
  <si>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</si>
  <si>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</si>
  <si>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</si>
  <si>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</si>
  <si>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</si>
  <si>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</si>
  <si>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</si>
  <si>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</si>
  <si>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</si>
  <si>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</si>
  <si>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</si>
  <si>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</si>
  <si>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</si>
  <si>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</si>
  <si>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</si>
  <si>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</si>
  <si>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</si>
  <si>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</si>
  <si>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</si>
  <si>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</si>
  <si>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</si>
  <si>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</si>
  <si>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</si>
  <si>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</si>
  <si>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</si>
  <si>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</si>
  <si>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</si>
  <si>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</si>
  <si>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</si>
  <si>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</si>
  <si>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</si>
  <si>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</si>
  <si>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</si>
  <si>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</si>
  <si>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</si>
  <si>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</si>
  <si>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</si>
  <si>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</si>
  <si>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</si>
  <si>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</si>
  <si>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</si>
  <si>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</si>
  <si>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</si>
  <si>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</si>
  <si>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</si>
  <si>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</si>
  <si>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</si>
  <si>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</si>
  <si>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</si>
  <si>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</si>
  <si>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</si>
  <si>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</si>
  <si>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</si>
  <si>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</si>
  <si>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</si>
  <si>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</si>
  <si>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</si>
  <si>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</si>
  <si>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</si>
  <si>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</si>
  <si>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</si>
  <si>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</si>
  <si>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</si>
  <si>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</si>
  <si>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</si>
  <si>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</si>
  <si>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</si>
  <si>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</si>
  <si>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</si>
  <si>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</si>
  <si>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</si>
  <si>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</si>
  <si>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</si>
  <si>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</si>
  <si>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</si>
  <si>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</si>
  <si>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</si>
  <si>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</si>
  <si>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</si>
  <si>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</si>
  <si>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</si>
  <si>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</si>
  <si>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</si>
  <si>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</si>
  <si>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</si>
  <si>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</si>
  <si>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</si>
  <si>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</si>
  <si>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</si>
  <si>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</si>
  <si>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</si>
  <si>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</si>
  <si>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</si>
  <si>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</si>
  <si>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</si>
  <si>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</si>
  <si>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</si>
  <si>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</si>
  <si>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</si>
  <si>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</si>
  <si>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</si>
  <si>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</si>
  <si>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</si>
  <si>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</si>
  <si>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</si>
  <si>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</si>
  <si>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</si>
  <si>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</si>
  <si>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</si>
  <si>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</si>
  <si>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</si>
  <si>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</si>
  <si>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</si>
  <si>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</si>
  <si>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</si>
  <si>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</si>
  <si>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</si>
  <si>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</si>
  <si>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</si>
  <si>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</si>
  <si>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</si>
  <si>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</si>
  <si>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</si>
  <si>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</si>
  <si>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</si>
  <si>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</si>
  <si>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</si>
  <si>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</si>
  <si>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</si>
  <si>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</si>
  <si>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</si>
  <si>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</si>
  <si>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</si>
  <si>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</si>
  <si>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</si>
  <si>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</si>
  <si>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</si>
  <si>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</si>
  <si>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</si>
  <si>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</si>
  <si>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</si>
  <si>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</si>
  <si>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</si>
  <si>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</si>
  <si>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</si>
  <si>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</si>
  <si>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</si>
  <si>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</si>
  <si>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</si>
  <si>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</si>
  <si>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</si>
  <si>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</si>
  <si>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</si>
  <si>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</si>
  <si>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</si>
  <si>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</si>
  <si>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</si>
  <si>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</si>
  <si>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</si>
  <si>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</si>
  <si>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</si>
  <si>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</si>
  <si>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</si>
  <si>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</si>
  <si>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</si>
  <si>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</si>
  <si>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</si>
  <si>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</si>
  <si>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</si>
  <si>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</si>
  <si>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</si>
  <si>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</si>
  <si>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</si>
  <si>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</si>
  <si>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</si>
  <si>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</si>
  <si>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</si>
  <si>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</si>
  <si>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</si>
  <si>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</si>
  <si>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</si>
  <si>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</si>
  <si>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</si>
  <si>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</si>
  <si>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</si>
  <si>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</si>
  <si>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</si>
  <si>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</si>
  <si>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</si>
  <si>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</si>
  <si>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</si>
  <si>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</si>
  <si>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</si>
  <si>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</si>
  <si>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</si>
  <si>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</si>
  <si>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</si>
  <si>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</si>
  <si>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</si>
  <si>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</si>
  <si>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</si>
  <si>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</si>
  <si>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</si>
  <si>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</si>
  <si>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</si>
  <si>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</si>
  <si>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</si>
  <si>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</si>
  <si>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</si>
  <si>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</si>
  <si>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</si>
  <si>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</si>
  <si>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</si>
  <si>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</si>
  <si>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</si>
  <si>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</si>
  <si>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</si>
  <si>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</si>
  <si>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</si>
  <si>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</si>
  <si>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</si>
  <si>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</si>
  <si>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</si>
  <si>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</si>
  <si>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</si>
  <si>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</si>
  <si>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</si>
  <si>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</si>
  <si>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</si>
  <si>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</si>
  <si>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</si>
  <si>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</si>
  <si>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</si>
  <si>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</si>
  <si>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</si>
  <si>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</si>
  <si>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</si>
  <si>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</si>
  <si>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</si>
  <si>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</si>
  <si>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</si>
  <si>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</si>
  <si>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</si>
  <si>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</si>
  <si>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</si>
  <si>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</si>
  <si>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</si>
  <si>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</si>
  <si>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</si>
  <si>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</si>
  <si>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</si>
  <si>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</si>
  <si>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</si>
  <si>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</si>
  <si>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</si>
  <si>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</si>
  <si>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</si>
  <si>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</si>
  <si>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</si>
  <si>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</si>
  <si>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</si>
  <si>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</si>
  <si>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</si>
  <si>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</si>
  <si>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</si>
  <si>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</si>
  <si>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</si>
  <si>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</si>
  <si>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</si>
  <si>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</si>
  <si>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</si>
  <si>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</si>
  <si>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</si>
  <si>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</si>
  <si>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</si>
  <si>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</si>
  <si>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</si>
  <si>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</si>
  <si>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</si>
  <si>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</si>
  <si>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</si>
  <si>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</si>
  <si>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</si>
  <si>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</si>
  <si>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</si>
  <si>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</si>
  <si>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</si>
  <si>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</si>
  <si>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</si>
  <si>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</si>
  <si>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</si>
  <si>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</si>
  <si>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</si>
  <si>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</si>
  <si>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</si>
  <si>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</si>
  <si>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</si>
  <si>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</si>
  <si>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</si>
  <si>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</si>
  <si>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</si>
  <si>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</si>
  <si>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</si>
  <si>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</si>
  <si>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</si>
  <si>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</si>
  <si>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</si>
  <si>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</si>
  <si>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</si>
  <si>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</si>
  <si>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</si>
  <si>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</si>
  <si>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</si>
  <si>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</si>
  <si>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</si>
  <si>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</si>
  <si>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</si>
  <si>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</si>
  <si>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</si>
  <si>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</si>
  <si>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</si>
  <si>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</si>
  <si>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</si>
  <si>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</si>
  <si>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</si>
  <si>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</si>
  <si>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</si>
  <si>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</si>
  <si>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</si>
  <si>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</si>
  <si>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</si>
  <si>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</si>
  <si>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</si>
  <si>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</si>
  <si>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</si>
  <si>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</si>
  <si>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</si>
  <si>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</si>
  <si>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</si>
  <si>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</si>
  <si>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</si>
  <si>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</si>
  <si>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</si>
  <si>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</si>
  <si>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</si>
  <si>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</si>
  <si>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</si>
  <si>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</si>
  <si>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</si>
  <si>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</si>
  <si>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</si>
  <si>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</si>
  <si>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</si>
  <si>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</si>
  <si>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</si>
  <si>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</si>
  <si>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</si>
  <si>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</si>
  <si>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</si>
  <si>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</si>
  <si>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</si>
  <si>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</si>
  <si>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</si>
  <si>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</si>
  <si>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</si>
  <si>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</si>
  <si>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</si>
  <si>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</si>
  <si>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</si>
  <si>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</si>
  <si>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</si>
  <si>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</si>
  <si>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</si>
  <si>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</si>
  <si>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</si>
  <si>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</si>
  <si>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</si>
  <si>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</si>
  <si>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</si>
  <si>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</si>
  <si>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</si>
  <si>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</si>
  <si>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</si>
  <si>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</si>
  <si>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</si>
  <si>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</si>
  <si>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</si>
  <si>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</si>
  <si>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</si>
  <si>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</si>
  <si>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</si>
  <si>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</si>
  <si>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</si>
  <si>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</si>
  <si>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</si>
  <si>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</si>
  <si>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</si>
  <si>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</si>
  <si>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</si>
  <si>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</si>
  <si>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</si>
  <si>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</si>
  <si>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</si>
  <si>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</si>
  <si>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</si>
  <si>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</si>
  <si>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</si>
  <si>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</si>
  <si>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</si>
  <si>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</si>
  <si>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</si>
  <si>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</si>
  <si>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</si>
  <si>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</si>
  <si>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</si>
  <si>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</si>
  <si>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</si>
  <si>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</si>
  <si>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</si>
  <si>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</si>
  <si>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</si>
  <si>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</si>
  <si>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</si>
  <si>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</si>
  <si>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</si>
  <si>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The LGBCE's final recommendations are due to be published 1st December 2020</t>
  </si>
  <si>
    <t>N/A</t>
  </si>
  <si>
    <t>Target deferred as part of Q1 Review due to ongoing coronavirus situation</t>
  </si>
  <si>
    <t>Target deleted as part of Q1 Review due to ongoing coronavirus situation</t>
  </si>
  <si>
    <t>Naomi Perry</t>
  </si>
  <si>
    <t>Scheduled for implementation in Q3.</t>
  </si>
  <si>
    <t>Completed in Quarter 2.</t>
  </si>
  <si>
    <t>Planning Stage.</t>
  </si>
  <si>
    <t>Many of reforms delayed, however there remains uncertainty in relation to the New Homes Bonus Scheme and Business Rates Reset in respect of the settlement for 2021/22.</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</si>
  <si>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</si>
  <si>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</si>
  <si>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</si>
  <si>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Work has continued on the options for service delivery and a report will be submitted to Cabinet in December</t>
  </si>
  <si>
    <t>IT system installed and hardware for vehicles delivered to site. The next stage is to input baseline data and cleanse.</t>
  </si>
  <si>
    <t>No events or outreach days were organised or attended in quarter two due to the ongoing Coronavirus pandemic, although outreach promotions and activities are planned for quarter three.</t>
  </si>
  <si>
    <t>Ctax collection is 0.38% down on our target for September but this is an improvement of 0.22% compared with the end of August.</t>
  </si>
  <si>
    <t>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t>
  </si>
  <si>
    <t>Pre April 2020 (previous  years) charges raised since 1 April 2020 (current year) total £1.2m, of which £669k was raised in September. These debits are added to the arrears figures brought forward as at 31 March 2020 and change frequently.</t>
  </si>
  <si>
    <t>Burton and Uttoxeter CSCs remain closed. However, Burton CSC will re-open on a reduced scale during October.</t>
  </si>
  <si>
    <t>4.25 days</t>
  </si>
  <si>
    <t>4.76 days</t>
  </si>
  <si>
    <t>Direct Earnings Attachment processes have been re-opened by HMRC following lockdown. We await confirmation from DWP that they will resume collection via DWP benefits shortly.</t>
  </si>
  <si>
    <t>0% April - July</t>
  </si>
  <si>
    <t>Initial meeting held to begin looking at documents but on hold pending report for Council</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</si>
  <si>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</si>
  <si>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</si>
  <si>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</si>
  <si>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</si>
  <si>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</si>
  <si>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</si>
  <si>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</si>
  <si>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</si>
  <si>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</si>
  <si>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</si>
  <si>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</si>
  <si>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</si>
  <si>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</si>
  <si>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</si>
  <si>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</si>
  <si>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Procurement process to start from Qtr 3</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</si>
  <si>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</si>
  <si>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</si>
  <si>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</si>
  <si>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</si>
  <si>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</si>
  <si>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</si>
  <si>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</si>
  <si>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</si>
  <si>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</si>
  <si>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</si>
  <si>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The strategy is expected to be approved by Cabinet in October</t>
  </si>
  <si>
    <t>The strategy is due to be approved in October.</t>
  </si>
  <si>
    <t>We are making progress towards our data being rated as Gold Standard and it is expected that we will achieve Gold by the end of the year in line with the current target. A new LLPG system is due to go live in October which will improve the management of the system.</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</si>
  <si>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</si>
  <si>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</si>
  <si>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</si>
  <si>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</si>
  <si>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</si>
  <si>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 xml:space="preserve">Review to commence during Quarter 3 to align to Local Resilience Forum flood planning processes. </t>
  </si>
  <si>
    <t>Detailed report on the performance of the Leisure Services contractor (Everyone Active) was presented to CMT, LDL, LAG, LOAG, IAAG and the AVFM Scrutiny Committee during August / September 2020.</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</si>
  <si>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</si>
  <si>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</si>
  <si>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</si>
  <si>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</si>
  <si>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 xml:space="preserve">Currently underway </t>
  </si>
  <si>
    <t xml:space="preserve">Full Member briefing took place on 12th October. </t>
  </si>
  <si>
    <t xml:space="preserve">Report currently being prepared </t>
  </si>
  <si>
    <t xml:space="preserve">Report going to full council on 19th October </t>
  </si>
  <si>
    <t>7 Applications all within time = 100%</t>
  </si>
  <si>
    <t>49 Applications of which 45 in time = 92%</t>
  </si>
  <si>
    <t>142 Applications of which 135 in time = 95%</t>
  </si>
  <si>
    <t>Year to date figures are exceeding % MHCLG top quartile</t>
  </si>
  <si>
    <t>As reported in Q1, COVID-19 has resulted in a delay in the Government publishing the next stage of consultations for the emerging Environment Bill. A revised timetable is yet to be confirmed.</t>
  </si>
  <si>
    <t>A number of campaigns were launched in Q2:                                                Open Spaces 'Carry it in Carry it out'       Market Hall 'Be Your Own Boss'                         Brewhouse Reopening                                      Brewhouse 'At Home' virtual activities</t>
  </si>
  <si>
    <t xml:space="preserve">6 briefings have taken place in 2020 to date </t>
  </si>
  <si>
    <t>Completed to be attached to CCTV report</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</si>
  <si>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</si>
  <si>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</si>
  <si>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</si>
  <si>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</si>
  <si>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</si>
  <si>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HMRC have deferred this requirement until April 2021 due to Covid-19 (target date revised to reflect this)</t>
  </si>
  <si>
    <t>The Procurement Policy was approved by Cabinet in September 2020. There was a slight delay in the policy being approved due to additional pressures on resource arising from the necessary response to the COVID-19 situation.</t>
  </si>
  <si>
    <t>Audited Accounts agreed by Approval of Statement of Accounts Committee, subject to finalisation of external audit particularly in relation to the Pension Fund Assurance from Staffordshire County Council's auditors.</t>
  </si>
  <si>
    <t xml:space="preserve">With the CSCs being closed since March, all services have been offered via telephone or online. Operators are also providing support to residents affected by Covid restrictions and isolation to ensure they can access food and support where necessary. </t>
  </si>
  <si>
    <t>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t>
  </si>
  <si>
    <t>• A review of the Hackney Carriage Tariff - report prepared for CMT. Confirmation now received that the meter calibration companies are able to calibrate meters. Awaiting confirmation front testing stations that they are able to test Hackneys on rolling road.
• A review of the Taxi ranks within in the Borough i.e. location and size etc - initial work has begun on where ranks are, what could  be deleted and new ranks implemented subject to consultation with the county council.
• Safeguarding training for all Private Hire and Hackney Carriage Drivers - contact has been made again to begin this process at reduced capacity. Licensing Officers are just awaiting confirmation of costs. 
• The introduction of a formal Verbal Test for new applicants for a Private Hire and Hackney Carriage Drivers Licence as well as Operators.- Implemented
• Also to propose recommendations for Medicals for Private Hire and Hackney Carriage Drivers and - Implemented we have now confirmed that All Saints Surgery are able to offer driver medicals to applicants. 
• Introduce the Disclosure and Barring Service (DBS) update service for Private Hire and Hackney Carriage Drivers and Operators - Implemented.</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</si>
  <si>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</si>
  <si>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</si>
  <si>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</si>
  <si>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</si>
  <si>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</si>
  <si>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</si>
  <si>
    <t>Support is being provided to another organisation regarding their future service delivery options. A report will be provided by the end of Q4.</t>
  </si>
  <si>
    <t>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t>
  </si>
  <si>
    <t>Draft strategy complete and shared with HoS. The strategy will feed into the new service delivery plans as described in VFM38.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</si>
</sst>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s>
  <fills count="2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s>
  <borders count="7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48">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8" fillId="7" borderId="55" xfId="0" applyFont="1" applyFill="1" applyBorder="1" applyAlignment="1" applyProtection="1">
      <alignment horizontal="left" vertical="center" wrapText="1" indent="1"/>
      <protection locked="0"/>
    </xf>
    <xf numFmtId="1" fontId="10" fillId="7" borderId="5" xfId="0" applyNumberFormat="1" applyFont="1" applyFill="1" applyBorder="1" applyAlignment="1" applyProtection="1">
      <alignment horizontal="left" vertical="center" wrapText="1" indent="1"/>
      <protection locked="0"/>
    </xf>
    <xf numFmtId="0" fontId="2" fillId="4" borderId="73" xfId="0" applyFont="1" applyFill="1" applyBorder="1" applyAlignment="1" applyProtection="1">
      <alignment horizontal="left" vertical="center" wrapText="1"/>
    </xf>
    <xf numFmtId="0" fontId="2" fillId="22" borderId="73" xfId="0" applyFont="1" applyFill="1" applyBorder="1" applyAlignment="1" applyProtection="1">
      <alignment horizontal="center" vertical="center" wrapText="1"/>
    </xf>
    <xf numFmtId="6" fontId="9" fillId="7" borderId="5" xfId="0" applyNumberFormat="1" applyFont="1" applyFill="1" applyBorder="1" applyAlignment="1" applyProtection="1">
      <alignment horizontal="left" vertical="center" wrapText="1" indent="1"/>
      <protection locked="0"/>
    </xf>
    <xf numFmtId="17" fontId="19" fillId="7" borderId="55" xfId="1" applyNumberFormat="1" applyFill="1" applyBorder="1" applyAlignment="1" applyProtection="1">
      <alignment horizontal="left" vertical="center" wrapText="1" indent="1"/>
      <protection locked="0"/>
    </xf>
    <xf numFmtId="8" fontId="9" fillId="7" borderId="54" xfId="0" applyNumberFormat="1" applyFont="1" applyFill="1" applyBorder="1" applyAlignment="1" applyProtection="1">
      <alignment horizontal="left" vertical="center" wrapText="1" indent="1"/>
      <protection locked="0"/>
    </xf>
    <xf numFmtId="1" fontId="10" fillId="7" borderId="54" xfId="0" applyNumberFormat="1" applyFont="1" applyFill="1" applyBorder="1" applyAlignment="1" applyProtection="1">
      <alignment horizontal="left" vertical="center" wrapText="1" indent="1"/>
      <protection locked="0"/>
    </xf>
    <xf numFmtId="0" fontId="2" fillId="2" borderId="73" xfId="0" applyFont="1" applyFill="1" applyBorder="1" applyAlignment="1" applyProtection="1">
      <alignment vertical="center" wrapText="1"/>
    </xf>
    <xf numFmtId="0" fontId="2" fillId="3" borderId="73" xfId="0" applyFont="1" applyFill="1" applyBorder="1" applyAlignment="1" applyProtection="1">
      <alignment vertical="center" wrapText="1"/>
    </xf>
    <xf numFmtId="49" fontId="2" fillId="3" borderId="73"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9" fillId="2" borderId="73" xfId="0" applyFont="1" applyFill="1" applyBorder="1" applyAlignment="1" applyProtection="1">
      <alignment horizontal="center" vertical="center" wrapText="1"/>
    </xf>
    <xf numFmtId="0" fontId="60" fillId="2" borderId="73"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1" fillId="3" borderId="73" xfId="0" applyNumberFormat="1" applyFont="1" applyFill="1" applyBorder="1" applyAlignment="1" applyProtection="1">
      <alignment horizontal="center" vertical="center" wrapText="1"/>
    </xf>
    <xf numFmtId="49" fontId="5" fillId="3" borderId="73"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9" fontId="62" fillId="7" borderId="54" xfId="0" applyNumberFormat="1" applyFont="1" applyFill="1" applyBorder="1" applyAlignment="1" applyProtection="1">
      <alignment horizontal="left" vertical="center" wrapText="1" indent="1"/>
      <protection locked="0"/>
    </xf>
    <xf numFmtId="164" fontId="4" fillId="24" borderId="6" xfId="0" applyNumberFormat="1" applyFont="1" applyFill="1" applyBorder="1" applyAlignment="1" applyProtection="1">
      <alignment horizontal="center" vertical="center" wrapText="1"/>
    </xf>
    <xf numFmtId="164" fontId="4" fillId="6" borderId="6" xfId="0" applyNumberFormat="1" applyFont="1" applyFill="1" applyBorder="1" applyAlignment="1" applyProtection="1">
      <alignment horizontal="center" vertical="center" wrapText="1"/>
    </xf>
    <xf numFmtId="0" fontId="2" fillId="23" borderId="73" xfId="0" applyFont="1" applyFill="1" applyBorder="1" applyAlignment="1" applyProtection="1">
      <alignment horizontal="center" vertical="center" wrapText="1"/>
    </xf>
    <xf numFmtId="17" fontId="10" fillId="7" borderId="5" xfId="0" applyNumberFormat="1" applyFont="1" applyFill="1" applyBorder="1" applyAlignment="1" applyProtection="1">
      <alignment horizontal="left" vertical="center" wrapText="1"/>
    </xf>
    <xf numFmtId="17" fontId="10" fillId="7" borderId="55" xfId="0" applyNumberFormat="1" applyFont="1" applyFill="1" applyBorder="1" applyAlignment="1" applyProtection="1">
      <alignment horizontal="left" vertical="center" wrapText="1"/>
    </xf>
    <xf numFmtId="17" fontId="9" fillId="7" borderId="54"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center" vertical="center" wrapText="1"/>
    </xf>
    <xf numFmtId="17" fontId="9" fillId="7" borderId="55" xfId="0" applyNumberFormat="1" applyFont="1" applyFill="1" applyBorder="1" applyAlignment="1" applyProtection="1">
      <alignment horizontal="left" vertical="center" wrapText="1" indent="1"/>
    </xf>
    <xf numFmtId="17"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left" vertical="center" wrapText="1" indent="1"/>
    </xf>
    <xf numFmtId="17" fontId="10" fillId="7" borderId="55"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center" vertical="center" wrapText="1"/>
    </xf>
    <xf numFmtId="17" fontId="10" fillId="0" borderId="5" xfId="0" applyNumberFormat="1" applyFont="1" applyFill="1" applyBorder="1" applyAlignment="1" applyProtection="1">
      <alignment horizontal="left" vertical="center" wrapText="1"/>
    </xf>
    <xf numFmtId="17" fontId="10" fillId="0" borderId="55" xfId="0" applyNumberFormat="1" applyFont="1" applyFill="1" applyBorder="1" applyAlignment="1" applyProtection="1">
      <alignment horizontal="left" vertical="center" wrapText="1"/>
    </xf>
    <xf numFmtId="17" fontId="8"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indent="1"/>
    </xf>
    <xf numFmtId="9" fontId="10"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xf>
    <xf numFmtId="0" fontId="10" fillId="7" borderId="55" xfId="0" applyFont="1" applyFill="1" applyBorder="1" applyAlignment="1" applyProtection="1">
      <alignment horizontal="left" vertical="center" wrapText="1"/>
    </xf>
    <xf numFmtId="0" fontId="9" fillId="7" borderId="54" xfId="0" applyFont="1" applyFill="1" applyBorder="1" applyAlignment="1" applyProtection="1">
      <alignment horizontal="left" vertical="center" wrapText="1" indent="1"/>
    </xf>
    <xf numFmtId="0" fontId="9" fillId="7" borderId="5" xfId="0" applyFont="1" applyFill="1" applyBorder="1" applyAlignment="1" applyProtection="1">
      <alignment horizontal="left" vertical="center" wrapText="1" indent="1"/>
    </xf>
    <xf numFmtId="0" fontId="9" fillId="7" borderId="55" xfId="0" applyFont="1" applyFill="1" applyBorder="1" applyAlignment="1" applyProtection="1">
      <alignment horizontal="left" vertical="center" wrapText="1" indent="1"/>
    </xf>
    <xf numFmtId="0" fontId="9" fillId="7" borderId="5" xfId="0" applyFont="1" applyFill="1" applyBorder="1" applyAlignment="1" applyProtection="1">
      <alignment horizontal="center" vertical="center" wrapText="1"/>
    </xf>
    <xf numFmtId="10" fontId="10"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xf>
    <xf numFmtId="10" fontId="9" fillId="7" borderId="54" xfId="0" applyNumberFormat="1" applyFont="1" applyFill="1" applyBorder="1" applyAlignment="1" applyProtection="1">
      <alignment horizontal="left" vertical="center" wrapText="1" indent="1"/>
    </xf>
    <xf numFmtId="9" fontId="9" fillId="7" borderId="5" xfId="0" applyNumberFormat="1" applyFont="1" applyFill="1" applyBorder="1" applyAlignment="1" applyProtection="1">
      <alignment horizontal="left" vertical="center" wrapText="1" indent="1"/>
    </xf>
    <xf numFmtId="10" fontId="9" fillId="7" borderId="5" xfId="0" applyNumberFormat="1" applyFont="1" applyFill="1" applyBorder="1" applyAlignment="1" applyProtection="1">
      <alignment horizontal="left" vertical="center" wrapText="1" indent="1"/>
    </xf>
    <xf numFmtId="8" fontId="10" fillId="7" borderId="5" xfId="0" applyNumberFormat="1" applyFont="1" applyFill="1" applyBorder="1" applyAlignment="1" applyProtection="1">
      <alignment horizontal="left" vertical="center" wrapText="1"/>
    </xf>
    <xf numFmtId="6" fontId="10" fillId="7" borderId="5" xfId="0" applyNumberFormat="1" applyFont="1" applyFill="1" applyBorder="1" applyAlignment="1" applyProtection="1">
      <alignment horizontal="left" vertical="center" wrapText="1"/>
    </xf>
    <xf numFmtId="8" fontId="9" fillId="7" borderId="54" xfId="0" applyNumberFormat="1" applyFont="1" applyFill="1" applyBorder="1" applyAlignment="1" applyProtection="1">
      <alignment horizontal="left" vertical="center" wrapText="1" indent="1"/>
    </xf>
    <xf numFmtId="6" fontId="9" fillId="7" borderId="5" xfId="0" applyNumberFormat="1" applyFont="1" applyFill="1" applyBorder="1" applyAlignment="1" applyProtection="1">
      <alignment horizontal="left" vertical="center" wrapText="1" indent="1"/>
    </xf>
    <xf numFmtId="3" fontId="9" fillId="7" borderId="5" xfId="0" applyNumberFormat="1" applyFont="1" applyFill="1" applyBorder="1" applyAlignment="1" applyProtection="1">
      <alignment horizontal="left" vertical="center" wrapText="1" indent="1"/>
    </xf>
    <xf numFmtId="9" fontId="9" fillId="7" borderId="54" xfId="0" applyNumberFormat="1" applyFont="1" applyFill="1" applyBorder="1" applyAlignment="1" applyProtection="1">
      <alignment horizontal="left" vertical="center" wrapText="1" indent="1"/>
    </xf>
    <xf numFmtId="0" fontId="10" fillId="0" borderId="55" xfId="0" applyFont="1" applyFill="1" applyBorder="1" applyAlignment="1" applyProtection="1">
      <alignment horizontal="left" vertical="center" wrapText="1"/>
    </xf>
    <xf numFmtId="0" fontId="58" fillId="7" borderId="5" xfId="0" applyFont="1" applyFill="1" applyBorder="1" applyAlignment="1" applyProtection="1">
      <alignment horizontal="left" vertical="center" wrapText="1"/>
    </xf>
    <xf numFmtId="0" fontId="8" fillId="7" borderId="55" xfId="0" applyFont="1" applyFill="1" applyBorder="1" applyAlignment="1" applyProtection="1">
      <alignment horizontal="left" vertical="center" wrapText="1" indent="1"/>
    </xf>
    <xf numFmtId="0" fontId="11"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xf>
    <xf numFmtId="0" fontId="11" fillId="7" borderId="55" xfId="0" applyFont="1" applyFill="1" applyBorder="1" applyAlignment="1" applyProtection="1">
      <alignment horizontal="left" vertical="center" wrapText="1" indent="1"/>
    </xf>
    <xf numFmtId="0" fontId="56"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center" vertical="center" wrapText="1"/>
    </xf>
    <xf numFmtId="0" fontId="8" fillId="7" borderId="54" xfId="0" applyFont="1" applyFill="1" applyBorder="1" applyAlignment="1" applyProtection="1">
      <alignment horizontal="left" vertical="center" wrapText="1" indent="1"/>
    </xf>
    <xf numFmtId="0" fontId="8" fillId="7" borderId="5" xfId="0" applyFont="1" applyFill="1" applyBorder="1" applyAlignment="1" applyProtection="1">
      <alignment horizontal="left" vertical="center" wrapText="1" indent="1"/>
    </xf>
    <xf numFmtId="0" fontId="9" fillId="7" borderId="62" xfId="0" applyFont="1" applyFill="1" applyBorder="1" applyAlignment="1" applyProtection="1">
      <alignment horizontal="left" vertical="center" wrapText="1" indent="1"/>
    </xf>
    <xf numFmtId="0" fontId="9" fillId="7" borderId="61" xfId="0" applyFont="1" applyFill="1" applyBorder="1" applyAlignment="1" applyProtection="1">
      <alignment horizontal="left" vertical="center" wrapText="1" indent="1"/>
    </xf>
    <xf numFmtId="0" fontId="9" fillId="7" borderId="63" xfId="0" applyFont="1" applyFill="1" applyBorder="1" applyAlignment="1" applyProtection="1">
      <alignment horizontal="left" vertical="center" wrapText="1" indent="1"/>
    </xf>
    <xf numFmtId="0" fontId="11" fillId="7" borderId="54" xfId="0" applyFont="1" applyFill="1" applyBorder="1" applyAlignment="1" applyProtection="1">
      <alignment horizontal="center" vertical="center" wrapText="1"/>
    </xf>
    <xf numFmtId="0" fontId="10" fillId="7" borderId="5" xfId="0" applyNumberFormat="1" applyFont="1" applyFill="1" applyBorder="1" applyAlignment="1" applyProtection="1">
      <alignment horizontal="left" vertical="center" wrapText="1"/>
    </xf>
    <xf numFmtId="2" fontId="10" fillId="7" borderId="5" xfId="0" applyNumberFormat="1" applyFont="1" applyFill="1" applyBorder="1" applyAlignment="1" applyProtection="1">
      <alignment horizontal="left" vertical="center" wrapText="1"/>
    </xf>
    <xf numFmtId="1" fontId="10" fillId="7" borderId="5" xfId="0" applyNumberFormat="1" applyFont="1" applyFill="1" applyBorder="1" applyAlignment="1" applyProtection="1">
      <alignment horizontal="left" vertical="center" wrapText="1" indent="1"/>
    </xf>
    <xf numFmtId="1" fontId="10" fillId="7" borderId="54" xfId="0" applyNumberFormat="1" applyFont="1" applyFill="1" applyBorder="1" applyAlignment="1" applyProtection="1">
      <alignment horizontal="left" vertical="center" wrapText="1" indent="1"/>
    </xf>
    <xf numFmtId="0" fontId="10" fillId="7" borderId="54"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10" fillId="7" borderId="55" xfId="0" applyFont="1" applyFill="1" applyBorder="1" applyAlignment="1" applyProtection="1">
      <alignment horizontal="left" vertical="center" wrapText="1" indent="1"/>
    </xf>
    <xf numFmtId="0" fontId="10" fillId="7" borderId="5"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0" fontId="10" fillId="7" borderId="54" xfId="0" applyNumberFormat="1" applyFont="1" applyFill="1" applyBorder="1" applyAlignment="1" applyProtection="1">
      <alignment horizontal="left" vertical="center" wrapText="1" indent="1"/>
      <protection locked="0"/>
    </xf>
    <xf numFmtId="8" fontId="10" fillId="7" borderId="54" xfId="0" applyNumberFormat="1" applyFont="1" applyFill="1" applyBorder="1" applyAlignment="1" applyProtection="1">
      <alignment horizontal="left" vertical="center" wrapText="1" indent="1"/>
      <protection locked="0"/>
    </xf>
    <xf numFmtId="9" fontId="10" fillId="7" borderId="54" xfId="0" applyNumberFormat="1" applyFont="1" applyFill="1" applyBorder="1" applyAlignment="1" applyProtection="1">
      <alignment horizontal="left" vertical="center" wrapText="1" indent="1"/>
      <protection locked="0"/>
    </xf>
    <xf numFmtId="17" fontId="9" fillId="7" borderId="5" xfId="0" quotePrefix="1" applyNumberFormat="1" applyFont="1" applyFill="1" applyBorder="1" applyAlignment="1" applyProtection="1">
      <alignment horizontal="left" vertical="center" wrapText="1" indent="1"/>
      <protection locked="0"/>
    </xf>
    <xf numFmtId="17" fontId="9" fillId="7" borderId="54" xfId="0" quotePrefix="1" applyNumberFormat="1" applyFont="1" applyFill="1" applyBorder="1" applyAlignment="1" applyProtection="1">
      <alignment horizontal="left" vertical="center" wrapText="1" indent="1"/>
      <protection locked="0"/>
    </xf>
    <xf numFmtId="17" fontId="10" fillId="0" borderId="5" xfId="0" applyNumberFormat="1" applyFont="1" applyFill="1" applyBorder="1" applyAlignment="1" applyProtection="1">
      <alignment horizontal="left" vertical="center" wrapText="1"/>
      <protection locked="0"/>
    </xf>
    <xf numFmtId="17" fontId="10" fillId="7" borderId="5" xfId="0" applyNumberFormat="1" applyFont="1" applyFill="1" applyBorder="1" applyAlignment="1" applyProtection="1">
      <alignment horizontal="left" vertical="center" wrapText="1"/>
      <protection locked="0"/>
    </xf>
    <xf numFmtId="0" fontId="10" fillId="7" borderId="54" xfId="0" applyNumberFormat="1" applyFont="1" applyFill="1" applyBorder="1" applyAlignment="1" applyProtection="1">
      <alignment horizontal="center" vertical="center" wrapText="1"/>
      <protection locked="0"/>
    </xf>
    <xf numFmtId="2" fontId="9" fillId="7" borderId="54" xfId="0" applyNumberFormat="1" applyFont="1" applyFill="1" applyBorder="1" applyAlignment="1" applyProtection="1">
      <alignment horizontal="left" vertical="center" wrapText="1" indent="1"/>
      <protection locked="0"/>
    </xf>
    <xf numFmtId="0" fontId="4" fillId="2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2"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30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3366"/>
      <color rgb="FFCC0000"/>
      <color rgb="FFFF3300"/>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0.91764705882352937</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4.7058823529411764E-2</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3.5294117647058823E-2</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1890400"/>
        <c:axId val="296035272"/>
      </c:lineChart>
      <c:catAx>
        <c:axId val="331890400"/>
        <c:scaling>
          <c:orientation val="minMax"/>
        </c:scaling>
        <c:delete val="0"/>
        <c:axPos val="b"/>
        <c:numFmt formatCode="General" sourceLinked="0"/>
        <c:majorTickMark val="out"/>
        <c:minorTickMark val="none"/>
        <c:tickLblPos val="nextTo"/>
        <c:txPr>
          <a:bodyPr/>
          <a:lstStyle/>
          <a:p>
            <a:pPr>
              <a:defRPr lang="en-US"/>
            </a:pPr>
            <a:endParaRPr lang="en-US"/>
          </a:p>
        </c:txPr>
        <c:crossAx val="296035272"/>
        <c:crosses val="autoZero"/>
        <c:auto val="1"/>
        <c:lblAlgn val="ctr"/>
        <c:lblOffset val="100"/>
        <c:noMultiLvlLbl val="0"/>
      </c:catAx>
      <c:valAx>
        <c:axId val="2960352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18904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0.87804878048780488</c:v>
                </c:pt>
                <c:pt idx="1">
                  <c:v>4.878048780487805E-2</c:v>
                </c:pt>
                <c:pt idx="2">
                  <c:v>7.3170731707317083E-2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0.95000000000000007</c:v>
                </c:pt>
                <c:pt idx="1">
                  <c:v>0.05</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0.95833333333333337</c:v>
                </c:pt>
                <c:pt idx="1">
                  <c:v>4.1666666666666664E-2</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0.87804878048780488</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4.878048780487805E-2</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7.3170731707317083E-2</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3731888"/>
        <c:axId val="333730320"/>
      </c:lineChart>
      <c:catAx>
        <c:axId val="333731888"/>
        <c:scaling>
          <c:orientation val="minMax"/>
        </c:scaling>
        <c:delete val="0"/>
        <c:axPos val="b"/>
        <c:numFmt formatCode="General" sourceLinked="0"/>
        <c:majorTickMark val="out"/>
        <c:minorTickMark val="none"/>
        <c:tickLblPos val="nextTo"/>
        <c:txPr>
          <a:bodyPr/>
          <a:lstStyle/>
          <a:p>
            <a:pPr>
              <a:defRPr lang="en-US"/>
            </a:pPr>
            <a:endParaRPr lang="en-US"/>
          </a:p>
        </c:txPr>
        <c:crossAx val="333730320"/>
        <c:crosses val="autoZero"/>
        <c:auto val="1"/>
        <c:lblAlgn val="ctr"/>
        <c:lblOffset val="100"/>
        <c:noMultiLvlLbl val="0"/>
      </c:catAx>
      <c:valAx>
        <c:axId val="333730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731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0.8666666666666667</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0.13333333333333333</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34565264"/>
        <c:axId val="434567224"/>
      </c:lineChart>
      <c:catAx>
        <c:axId val="434565264"/>
        <c:scaling>
          <c:orientation val="minMax"/>
        </c:scaling>
        <c:delete val="0"/>
        <c:axPos val="b"/>
        <c:numFmt formatCode="General" sourceLinked="1"/>
        <c:majorTickMark val="out"/>
        <c:minorTickMark val="none"/>
        <c:tickLblPos val="nextTo"/>
        <c:txPr>
          <a:bodyPr/>
          <a:lstStyle/>
          <a:p>
            <a:pPr>
              <a:defRPr lang="en-US"/>
            </a:pPr>
            <a:endParaRPr lang="en-US"/>
          </a:p>
        </c:txPr>
        <c:crossAx val="434567224"/>
        <c:crosses val="autoZero"/>
        <c:auto val="1"/>
        <c:lblAlgn val="ctr"/>
        <c:lblOffset val="100"/>
        <c:noMultiLvlLbl val="0"/>
      </c:catAx>
      <c:valAx>
        <c:axId val="4345672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5652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0.93333333333333335</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6.6666666666666666E-2</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34566440"/>
        <c:axId val="435787136"/>
      </c:lineChart>
      <c:catAx>
        <c:axId val="434566440"/>
        <c:scaling>
          <c:orientation val="minMax"/>
        </c:scaling>
        <c:delete val="0"/>
        <c:axPos val="b"/>
        <c:numFmt formatCode="General" sourceLinked="0"/>
        <c:majorTickMark val="out"/>
        <c:minorTickMark val="none"/>
        <c:tickLblPos val="nextTo"/>
        <c:txPr>
          <a:bodyPr/>
          <a:lstStyle/>
          <a:p>
            <a:pPr>
              <a:defRPr lang="en-US"/>
            </a:pPr>
            <a:endParaRPr lang="en-US"/>
          </a:p>
        </c:txPr>
        <c:crossAx val="435787136"/>
        <c:crosses val="autoZero"/>
        <c:auto val="1"/>
        <c:lblAlgn val="ctr"/>
        <c:lblOffset val="100"/>
        <c:noMultiLvlLbl val="0"/>
      </c:catAx>
      <c:valAx>
        <c:axId val="4357871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5664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0.66666666666666674</c:v>
                </c:pt>
                <c:pt idx="1">
                  <c:v>0.75</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0.22222222222222221</c:v>
                </c:pt>
                <c:pt idx="1">
                  <c:v>0.125</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0.1111111111111111</c:v>
                </c:pt>
                <c:pt idx="1">
                  <c:v>0.125</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5792624"/>
        <c:axId val="435791448"/>
      </c:lineChart>
      <c:catAx>
        <c:axId val="435792624"/>
        <c:scaling>
          <c:orientation val="minMax"/>
        </c:scaling>
        <c:delete val="0"/>
        <c:axPos val="b"/>
        <c:numFmt formatCode="General" sourceLinked="0"/>
        <c:majorTickMark val="out"/>
        <c:minorTickMark val="none"/>
        <c:tickLblPos val="nextTo"/>
        <c:txPr>
          <a:bodyPr/>
          <a:lstStyle/>
          <a:p>
            <a:pPr>
              <a:defRPr lang="en-US"/>
            </a:pPr>
            <a:endParaRPr lang="en-US"/>
          </a:p>
        </c:txPr>
        <c:crossAx val="435791448"/>
        <c:crosses val="autoZero"/>
        <c:auto val="1"/>
        <c:lblAlgn val="ctr"/>
        <c:lblOffset val="100"/>
        <c:noMultiLvlLbl val="0"/>
      </c:catAx>
      <c:valAx>
        <c:axId val="4357914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57926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5789096"/>
        <c:axId val="435788704"/>
      </c:lineChart>
      <c:catAx>
        <c:axId val="435789096"/>
        <c:scaling>
          <c:orientation val="minMax"/>
        </c:scaling>
        <c:delete val="0"/>
        <c:axPos val="b"/>
        <c:numFmt formatCode="General" sourceLinked="0"/>
        <c:majorTickMark val="out"/>
        <c:minorTickMark val="none"/>
        <c:tickLblPos val="nextTo"/>
        <c:txPr>
          <a:bodyPr/>
          <a:lstStyle/>
          <a:p>
            <a:pPr>
              <a:defRPr lang="en-US"/>
            </a:pPr>
            <a:endParaRPr lang="en-US"/>
          </a:p>
        </c:txPr>
        <c:crossAx val="435788704"/>
        <c:crosses val="autoZero"/>
        <c:auto val="1"/>
        <c:lblAlgn val="ctr"/>
        <c:lblOffset val="100"/>
        <c:noMultiLvlLbl val="0"/>
      </c:catAx>
      <c:valAx>
        <c:axId val="43578870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57890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0.66666666666666674</c:v>
                </c:pt>
                <c:pt idx="1">
                  <c:v>0.22222222222222221</c:v>
                </c:pt>
                <c:pt idx="2">
                  <c:v>0.1111111111111111</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0.8666666666666667</c:v>
                </c:pt>
                <c:pt idx="1">
                  <c:v>0</c:v>
                </c:pt>
                <c:pt idx="2">
                  <c:v>0.13333333333333333</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0.95000000000000007</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0.05</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3729536"/>
        <c:axId val="333729144"/>
      </c:lineChart>
      <c:catAx>
        <c:axId val="333729536"/>
        <c:scaling>
          <c:orientation val="minMax"/>
        </c:scaling>
        <c:delete val="0"/>
        <c:axPos val="b"/>
        <c:numFmt formatCode="General" sourceLinked="0"/>
        <c:majorTickMark val="out"/>
        <c:minorTickMark val="none"/>
        <c:tickLblPos val="nextTo"/>
        <c:txPr>
          <a:bodyPr/>
          <a:lstStyle/>
          <a:p>
            <a:pPr>
              <a:defRPr lang="en-US"/>
            </a:pPr>
            <a:endParaRPr lang="en-US"/>
          </a:p>
        </c:txPr>
        <c:crossAx val="333729144"/>
        <c:crosses val="autoZero"/>
        <c:auto val="1"/>
        <c:lblAlgn val="ctr"/>
        <c:lblOffset val="100"/>
        <c:noMultiLvlLbl val="0"/>
      </c:catAx>
      <c:valAx>
        <c:axId val="3337291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729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0.75</c:v>
                </c:pt>
                <c:pt idx="1">
                  <c:v>0.125</c:v>
                </c:pt>
                <c:pt idx="2">
                  <c:v>0.125</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0.95833333333333337</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4.1666666666666664E-2</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33731496"/>
        <c:axId val="333728360"/>
      </c:lineChart>
      <c:catAx>
        <c:axId val="333731496"/>
        <c:scaling>
          <c:orientation val="minMax"/>
        </c:scaling>
        <c:delete val="0"/>
        <c:axPos val="b"/>
        <c:numFmt formatCode="General" sourceLinked="0"/>
        <c:majorTickMark val="out"/>
        <c:minorTickMark val="none"/>
        <c:tickLblPos val="nextTo"/>
        <c:txPr>
          <a:bodyPr/>
          <a:lstStyle/>
          <a:p>
            <a:pPr>
              <a:defRPr lang="en-US"/>
            </a:pPr>
            <a:endParaRPr lang="en-US"/>
          </a:p>
        </c:txPr>
        <c:crossAx val="333728360"/>
        <c:crosses val="autoZero"/>
        <c:auto val="1"/>
        <c:lblAlgn val="ctr"/>
        <c:lblOffset val="100"/>
        <c:noMultiLvlLbl val="0"/>
      </c:catAx>
      <c:valAx>
        <c:axId val="3337283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731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0.9</c:v>
                </c:pt>
                <c:pt idx="1">
                  <c:v>0.88888888888888884</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c:v>
                </c:pt>
                <c:pt idx="1">
                  <c:v>0.1111111111111111</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34444032"/>
        <c:axId val="334442072"/>
      </c:lineChart>
      <c:catAx>
        <c:axId val="334444032"/>
        <c:scaling>
          <c:orientation val="minMax"/>
        </c:scaling>
        <c:delete val="0"/>
        <c:axPos val="b"/>
        <c:numFmt formatCode="General" sourceLinked="0"/>
        <c:majorTickMark val="out"/>
        <c:minorTickMark val="none"/>
        <c:tickLblPos val="nextTo"/>
        <c:txPr>
          <a:bodyPr/>
          <a:lstStyle/>
          <a:p>
            <a:pPr>
              <a:defRPr lang="en-US"/>
            </a:pPr>
            <a:endParaRPr lang="en-US"/>
          </a:p>
        </c:txPr>
        <c:crossAx val="334442072"/>
        <c:crosses val="autoZero"/>
        <c:auto val="1"/>
        <c:lblAlgn val="ctr"/>
        <c:lblOffset val="100"/>
        <c:noMultiLvlLbl val="0"/>
      </c:catAx>
      <c:valAx>
        <c:axId val="33444207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344440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0.88888888888888884</c:v>
                </c:pt>
                <c:pt idx="1">
                  <c:v>0.1111111111111111</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0.91764705882352937</c:v>
                </c:pt>
                <c:pt idx="1">
                  <c:v>4.7058823529411764E-2</c:v>
                </c:pt>
                <c:pt idx="2">
                  <c:v>3.5294117647058823E-2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RowHeight="15"/>
  <cols>
    <col min="1" max="16384" width="9.140625" style="141"/>
  </cols>
  <sheetData>
    <row r="1" spans="1:7">
      <c r="A1" s="141" t="s">
        <v>251</v>
      </c>
    </row>
    <row r="2" spans="1:7">
      <c r="A2" s="144" t="s">
        <v>541</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J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39" t="s">
        <v>201</v>
      </c>
      <c r="L1" s="440"/>
      <c r="M1" s="440"/>
      <c r="N1" s="440"/>
      <c r="O1" s="440"/>
      <c r="P1" s="440"/>
      <c r="Q1" s="440"/>
      <c r="R1" s="440"/>
      <c r="S1" s="440"/>
      <c r="T1" s="440"/>
      <c r="U1" s="440"/>
      <c r="V1" s="440"/>
      <c r="W1" s="440"/>
      <c r="X1" s="441"/>
      <c r="AY1" s="80"/>
      <c r="AZ1" s="80"/>
      <c r="BA1" s="80"/>
      <c r="BB1" s="80"/>
      <c r="BC1" s="80"/>
    </row>
    <row r="2" spans="2:56" s="74" customFormat="1" ht="35.25">
      <c r="K2" s="442"/>
      <c r="L2" s="443"/>
      <c r="M2" s="443"/>
      <c r="N2" s="443"/>
      <c r="O2" s="443"/>
      <c r="P2" s="443"/>
      <c r="Q2" s="443"/>
      <c r="R2" s="443"/>
      <c r="S2" s="443"/>
      <c r="T2" s="443"/>
      <c r="U2" s="443"/>
      <c r="V2" s="443"/>
      <c r="W2" s="443"/>
      <c r="X2" s="444"/>
      <c r="AY2" s="80"/>
      <c r="AZ2" s="80"/>
      <c r="BA2" s="80"/>
      <c r="BB2" s="80"/>
      <c r="BC2" s="80"/>
    </row>
    <row r="3" spans="2:56" s="74" customFormat="1" ht="36" thickBot="1">
      <c r="K3" s="445"/>
      <c r="L3" s="446"/>
      <c r="M3" s="446"/>
      <c r="N3" s="446"/>
      <c r="O3" s="446"/>
      <c r="P3" s="446"/>
      <c r="Q3" s="446"/>
      <c r="R3" s="446"/>
      <c r="S3" s="446"/>
      <c r="T3" s="446"/>
      <c r="U3" s="446"/>
      <c r="V3" s="446"/>
      <c r="W3" s="446"/>
      <c r="X3" s="447"/>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f>'3a. % by Portfolio'!N6</f>
        <v>0.8666666666666667</v>
      </c>
      <c r="BB7" s="87" t="e">
        <f>'3a. % by Portfolio'!U6</f>
        <v>#DIV/0!</v>
      </c>
      <c r="BC7" s="87" t="e">
        <f>'3a. % by Portfolio'!AB6</f>
        <v>#DIV/0!</v>
      </c>
      <c r="BD7" s="76"/>
    </row>
    <row r="8" spans="2:56">
      <c r="L8" s="78"/>
      <c r="M8" s="78"/>
      <c r="AY8" s="86" t="s">
        <v>204</v>
      </c>
      <c r="AZ8" s="87">
        <f>'3a. % by Portfolio'!G9</f>
        <v>0</v>
      </c>
      <c r="BA8" s="87">
        <f>'3a. % by Portfolio'!N9</f>
        <v>0</v>
      </c>
      <c r="BB8" s="87" t="e">
        <f>'3a. % by Portfolio'!U9</f>
        <v>#DIV/0!</v>
      </c>
      <c r="BC8" s="87" t="e">
        <f>'3a. % by Portfolio'!AB9</f>
        <v>#DIV/0!</v>
      </c>
      <c r="BD8" s="76"/>
    </row>
    <row r="9" spans="2:56">
      <c r="L9" s="78"/>
      <c r="M9" s="78"/>
      <c r="AY9" s="86" t="s">
        <v>205</v>
      </c>
      <c r="AZ9" s="87">
        <f>'3a. % by Portfolio'!G13</f>
        <v>0.15384615384615385</v>
      </c>
      <c r="BA9" s="87">
        <f>'3a. % by Portfolio'!N13</f>
        <v>0.13333333333333333</v>
      </c>
      <c r="BB9" s="87" t="e">
        <f>'3a. % by Portfolio'!U13</f>
        <v>#DIV/0!</v>
      </c>
      <c r="BC9" s="87" t="e">
        <f>'3a. % by Portfolio'!AB13</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f>'3a. % by Portfolio'!N29</f>
        <v>0.93333333333333335</v>
      </c>
      <c r="BB23" s="87" t="e">
        <f>'3a. % by Portfolio'!U29</f>
        <v>#DIV/0!</v>
      </c>
      <c r="BC23" s="87" t="e">
        <f>'3a. % by Portfolio'!AB29</f>
        <v>#DIV/0!</v>
      </c>
      <c r="BD23" s="76"/>
    </row>
    <row r="24" spans="12:56">
      <c r="L24" s="78"/>
      <c r="M24" s="78"/>
      <c r="AY24" s="86" t="s">
        <v>204</v>
      </c>
      <c r="AZ24" s="87">
        <f>'3a. % by Portfolio'!G32</f>
        <v>0</v>
      </c>
      <c r="BA24" s="87">
        <f>'3a. % by Portfolio'!N32</f>
        <v>6.6666666666666666E-2</v>
      </c>
      <c r="BB24" s="87" t="e">
        <f>'3a. % by Portfolio'!U32</f>
        <v>#DIV/0!</v>
      </c>
      <c r="BC24" s="87" t="e">
        <f>'3a. % by Portfolio'!AB32</f>
        <v>#DIV/0!</v>
      </c>
      <c r="BD24" s="76"/>
    </row>
    <row r="25" spans="12:56">
      <c r="L25" s="78"/>
      <c r="M25" s="78"/>
      <c r="AY25" s="86" t="s">
        <v>205</v>
      </c>
      <c r="AZ25" s="87">
        <f>'3a. % by Portfolio'!G36</f>
        <v>0</v>
      </c>
      <c r="BA25" s="87">
        <f>'3a. % by Portfolio'!N36</f>
        <v>0</v>
      </c>
      <c r="BB25" s="87" t="e">
        <f>'3a. % by Portfolio'!U36</f>
        <v>#DIV/0!</v>
      </c>
      <c r="BC25" s="87" t="e">
        <f>'3a. % by Portfolio'!AB36</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f>'3a. % by Portfolio'!G51</f>
        <v>0.66666666666666674</v>
      </c>
      <c r="BA39" s="87">
        <f>'3a. % by Portfolio'!N51</f>
        <v>0.75</v>
      </c>
      <c r="BB39" s="87" t="e">
        <f>'3a. % by Portfolio'!U51</f>
        <v>#DIV/0!</v>
      </c>
      <c r="BC39" s="87" t="e">
        <f>'3a. % by Portfolio'!AB51</f>
        <v>#DIV/0!</v>
      </c>
      <c r="BD39" s="79"/>
    </row>
    <row r="40" spans="11:56">
      <c r="K40" s="78"/>
      <c r="L40" s="78"/>
      <c r="AY40" s="86" t="s">
        <v>204</v>
      </c>
      <c r="AZ40" s="87">
        <f>'3a. % by Portfolio'!G54</f>
        <v>0.22222222222222221</v>
      </c>
      <c r="BA40" s="87">
        <f>'3a. % by Portfolio'!N54</f>
        <v>0.125</v>
      </c>
      <c r="BB40" s="87" t="e">
        <f>'3a. % by Portfolio'!U54</f>
        <v>#DIV/0!</v>
      </c>
      <c r="BC40" s="87" t="e">
        <f>'3a. % by Portfolio'!AB54</f>
        <v>#DIV/0!</v>
      </c>
      <c r="BD40" s="79"/>
    </row>
    <row r="41" spans="11:56">
      <c r="K41" s="78"/>
      <c r="L41" s="78"/>
      <c r="AY41" s="86" t="s">
        <v>205</v>
      </c>
      <c r="AZ41" s="87">
        <f>'3a. % by Portfolio'!G58</f>
        <v>0.1111111111111111</v>
      </c>
      <c r="BA41" s="87">
        <f>'3a. % by Portfolio'!N58</f>
        <v>0.125</v>
      </c>
      <c r="BB41" s="87" t="e">
        <f>'3a. % by Portfolio'!U58</f>
        <v>#DIV/0!</v>
      </c>
      <c r="BC41" s="87" t="e">
        <f>'3a. % by Portfolio'!AB58</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f>'3a. % by Portfolio'!N73</f>
        <v>1</v>
      </c>
      <c r="BB55" s="87" t="e">
        <f>'3a. % by Portfolio'!U73</f>
        <v>#DIV/0!</v>
      </c>
      <c r="BC55" s="87" t="e">
        <f>'3a. % by Portfolio'!AB73</f>
        <v>#DIV/0!</v>
      </c>
      <c r="BD55" s="76"/>
    </row>
    <row r="56" spans="12:56">
      <c r="L56" s="78"/>
      <c r="M56" s="78"/>
      <c r="AY56" s="86" t="s">
        <v>204</v>
      </c>
      <c r="AZ56" s="87">
        <f>'3a. % by Portfolio'!G76</f>
        <v>5.2631578947368418E-2</v>
      </c>
      <c r="BA56" s="87">
        <f>'3a. % by Portfolio'!N76</f>
        <v>0</v>
      </c>
      <c r="BB56" s="87" t="e">
        <f>'3a. % by Portfolio'!U76</f>
        <v>#DIV/0!</v>
      </c>
      <c r="BC56" s="87" t="e">
        <f>'3a. % by Portfolio'!AB76</f>
        <v>#DIV/0!</v>
      </c>
      <c r="BD56" s="76"/>
    </row>
    <row r="57" spans="12:56">
      <c r="L57" s="78"/>
      <c r="M57" s="78"/>
      <c r="AY57" s="86" t="s">
        <v>205</v>
      </c>
      <c r="AZ57" s="87">
        <f>'3a. % by Portfolio'!G80</f>
        <v>0</v>
      </c>
      <c r="BA57" s="87">
        <f>'3a. % by Portfolio'!N80</f>
        <v>0</v>
      </c>
      <c r="BB57" s="87" t="e">
        <f>'3a. % by Portfolio'!U80</f>
        <v>#DIV/0!</v>
      </c>
      <c r="BC57" s="87" t="e">
        <f>'3a. % by Portfolio'!AB80</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f>'3a. % by Portfolio'!G95</f>
        <v>0.9</v>
      </c>
      <c r="BA71" s="87">
        <f>'3a. % by Portfolio'!N95</f>
        <v>0.88888888888888884</v>
      </c>
      <c r="BB71" s="87" t="e">
        <f>'3a. % by Portfolio'!U95</f>
        <v>#DIV/0!</v>
      </c>
      <c r="BC71" s="87" t="e">
        <f>'3a. % by Portfolio'!AB95</f>
        <v>#DIV/0!</v>
      </c>
    </row>
    <row r="72" spans="14:56">
      <c r="AY72" s="86" t="s">
        <v>204</v>
      </c>
      <c r="AZ72" s="87">
        <f>'3a. % by Portfolio'!G98</f>
        <v>0.1</v>
      </c>
      <c r="BA72" s="87">
        <f>'3a. % by Portfolio'!N98</f>
        <v>0.1111111111111111</v>
      </c>
      <c r="BB72" s="87" t="e">
        <f>'3a. % by Portfolio'!U98</f>
        <v>#DIV/0!</v>
      </c>
      <c r="BC72" s="87" t="e">
        <f>'3a. % by Portfolio'!AB98</f>
        <v>#DIV/0!</v>
      </c>
    </row>
    <row r="73" spans="14:56">
      <c r="AY73" s="86" t="s">
        <v>205</v>
      </c>
      <c r="AZ73" s="87">
        <f>'3a. % by Portfolio'!G102</f>
        <v>0</v>
      </c>
      <c r="BA73" s="87">
        <f>'3a. % by Portfolio'!N102</f>
        <v>0</v>
      </c>
      <c r="BB73" s="87" t="e">
        <f>'3a. % by Portfolio'!U102</f>
        <v>#DIV/0!</v>
      </c>
      <c r="BC73" s="87" t="e">
        <f>'3a. % by Portfolio'!AB102</f>
        <v>#DIV/0!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topLeftCell="A41" workbookViewId="0">
      <selection sqref="A1:XFD1048576"/>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customHeight="1" thickTop="1" thickBot="1">
      <c r="A4" s="102" t="str">
        <f>'1. All Data'!C3</f>
        <v>CR02</v>
      </c>
      <c r="B4" s="134" t="str">
        <f>'1. All Data'!D3</f>
        <v>Proactively Supporting the Boundary Review of East Staffordshire</v>
      </c>
      <c r="C4" s="135" t="str">
        <f>'1. All Data'!E3</f>
        <v>Respond to Boundary Review Consultation in line with LGBCE timetable</v>
      </c>
      <c r="D4" s="131" t="str">
        <f>'1. All Data'!I3</f>
        <v>On Track to be Achieved</v>
      </c>
      <c r="E4" s="104"/>
      <c r="F4" s="132" t="str">
        <f>'1. All Data'!N3</f>
        <v>On Track to be Achieved</v>
      </c>
      <c r="G4" s="104"/>
      <c r="H4" s="133">
        <f>'1. All Data'!S3</f>
        <v>0</v>
      </c>
      <c r="I4" s="104"/>
      <c r="J4" s="133">
        <f>'1. All Data'!W3</f>
        <v>0</v>
      </c>
      <c r="O4" s="106" t="s">
        <v>233</v>
      </c>
      <c r="Y4" s="104" t="s">
        <v>232</v>
      </c>
    </row>
    <row r="5" spans="1:46" ht="99.75" customHeight="1" thickTop="1" thickBot="1">
      <c r="A5" s="102" t="str">
        <f>'1. All Data'!C4</f>
        <v>CR03</v>
      </c>
      <c r="B5" s="134" t="str">
        <f>'1. All Data'!D4</f>
        <v>Proactively Supporting the Boundary Review of East Staffordshire</v>
      </c>
      <c r="C5" s="135" t="str">
        <f>'1. All Data'!E4</f>
        <v>Prepare for Polling Place Review following completion of Boundary Review</v>
      </c>
      <c r="D5" s="131" t="str">
        <f>'1. All Data'!I4</f>
        <v>On Track to be Achieved</v>
      </c>
      <c r="E5" s="104"/>
      <c r="F5" s="132" t="str">
        <f>'1. All Data'!N4</f>
        <v>On Track to be Achieved</v>
      </c>
      <c r="G5" s="104"/>
      <c r="H5" s="133">
        <f>'1. All Data'!S4</f>
        <v>0</v>
      </c>
      <c r="I5" s="104"/>
      <c r="J5" s="133">
        <f>'1. All Data'!W4</f>
        <v>0</v>
      </c>
      <c r="O5" s="106" t="s">
        <v>234</v>
      </c>
      <c r="T5" s="108"/>
      <c r="Y5" s="109" t="s">
        <v>235</v>
      </c>
    </row>
    <row r="6" spans="1:46" ht="89.25" thickTop="1" thickBot="1">
      <c r="A6" s="102" t="str">
        <f>'1. All Data'!C5</f>
        <v>CR04</v>
      </c>
      <c r="B6" s="134" t="str">
        <f>'1. All Data'!D5</f>
        <v>Increasing Staffing Availability Through Reduced Sickness</v>
      </c>
      <c r="C6" s="135" t="str">
        <f>'1. All Data'!E5</f>
        <v>Short Term Sickness Days Average: 2.98 days</v>
      </c>
      <c r="D6" s="131" t="str">
        <f>'1. All Data'!I5</f>
        <v>On Track to be Achieved</v>
      </c>
      <c r="E6" s="104"/>
      <c r="F6" s="132" t="str">
        <f>'1. All Data'!N5</f>
        <v>On Track to be Achieved</v>
      </c>
      <c r="G6" s="104"/>
      <c r="H6" s="133">
        <f>'1. All Data'!S5</f>
        <v>0</v>
      </c>
      <c r="I6" s="104"/>
      <c r="J6" s="133">
        <f>'1. All Data'!W5</f>
        <v>0</v>
      </c>
      <c r="O6" s="110" t="s">
        <v>230</v>
      </c>
      <c r="T6" s="111" t="s">
        <v>235</v>
      </c>
    </row>
    <row r="7" spans="1:46" ht="99.75" customHeight="1" thickTop="1">
      <c r="A7" s="102" t="str">
        <f>'1. All Data'!C6</f>
        <v>CR05</v>
      </c>
      <c r="B7" s="134" t="str">
        <f>'1. All Data'!D6</f>
        <v>Improve On The Average Time To Pay Creditors</v>
      </c>
      <c r="C7" s="135" t="str">
        <f>'1. All Data'!E6</f>
        <v>Average Time To Pay Creditors: 
10 days</v>
      </c>
      <c r="D7" s="131" t="str">
        <f>'1. All Data'!I6</f>
        <v>On Track to be Achieved</v>
      </c>
      <c r="E7" s="104"/>
      <c r="F7" s="132" t="str">
        <f>'1. All Data'!N6</f>
        <v>On Track to be Achieved</v>
      </c>
      <c r="G7" s="104"/>
      <c r="H7" s="133">
        <f>'1. All Data'!S6</f>
        <v>0</v>
      </c>
      <c r="I7" s="104"/>
      <c r="J7" s="133">
        <f>'1. All Data'!W6</f>
        <v>0</v>
      </c>
      <c r="T7" s="111" t="s">
        <v>236</v>
      </c>
    </row>
    <row r="8" spans="1:46" ht="99.75" customHeight="1">
      <c r="A8" s="102" t="str">
        <f>'1. All Data'!C7</f>
        <v>CR06</v>
      </c>
      <c r="B8" s="134" t="str">
        <f>'1. All Data'!D7</f>
        <v>Legal and Assets</v>
      </c>
      <c r="C8" s="135" t="str">
        <f>'1. All Data'!E7</f>
        <v xml:space="preserve">Commission a condition survey of the Council’s industrial units at Centrum 100 Business Park </v>
      </c>
      <c r="D8" s="131" t="str">
        <f>'1. All Data'!I7</f>
        <v>Not Yet Due</v>
      </c>
      <c r="E8" s="104"/>
      <c r="F8" s="132" t="str">
        <f>'1. All Data'!N7</f>
        <v>Fully Achieved</v>
      </c>
      <c r="G8" s="104"/>
      <c r="H8" s="133">
        <f>'1. All Data'!S7</f>
        <v>0</v>
      </c>
      <c r="I8" s="104"/>
      <c r="J8" s="133">
        <f>'1. All Data'!W7</f>
        <v>0</v>
      </c>
      <c r="T8" s="111" t="s">
        <v>232</v>
      </c>
    </row>
    <row r="9" spans="1:46" ht="99.75" customHeight="1">
      <c r="A9" s="102" t="str">
        <f>'1. All Data'!C8</f>
        <v>CR07</v>
      </c>
      <c r="B9" s="134" t="str">
        <f>'1. All Data'!D8</f>
        <v>Legal and Assets</v>
      </c>
      <c r="C9" s="135" t="str">
        <f>'1. All Data'!E8</f>
        <v>Carry out works to 8 of the Council’s commercial properties, as identified in the condition survey</v>
      </c>
      <c r="D9" s="131" t="str">
        <f>'1. All Data'!I8</f>
        <v>Not Yet Due</v>
      </c>
      <c r="E9" s="103"/>
      <c r="F9" s="132" t="str">
        <f>'1. All Data'!N8</f>
        <v>Not yet due</v>
      </c>
      <c r="G9" s="104"/>
      <c r="H9" s="133">
        <f>'1. All Data'!S8</f>
        <v>0</v>
      </c>
      <c r="I9" s="104"/>
      <c r="J9" s="133">
        <f>'1. All Data'!W8</f>
        <v>0</v>
      </c>
    </row>
    <row r="10" spans="1:46" ht="99.75" customHeight="1">
      <c r="A10" s="102" t="str">
        <f>'1. All Data'!C9</f>
        <v>CR08</v>
      </c>
      <c r="B10" s="134" t="str">
        <f>'1. All Data'!D9</f>
        <v>Increase Capacity at Stapenhill Cemetery</v>
      </c>
      <c r="C10" s="135" t="str">
        <f>'1. All Data'!E9</f>
        <v>Commence preparatory works for the expansion of Stapenhill Cemetery.</v>
      </c>
      <c r="D10" s="131" t="str">
        <f>'1. All Data'!I9</f>
        <v>Fully Achieved</v>
      </c>
      <c r="E10" s="103"/>
      <c r="F10" s="132" t="str">
        <f>'1. All Data'!N9</f>
        <v>Fully Achieved</v>
      </c>
      <c r="G10" s="104"/>
      <c r="H10" s="133">
        <f>'1. All Data'!S9</f>
        <v>0</v>
      </c>
      <c r="I10" s="104"/>
      <c r="J10" s="133">
        <f>'1. All Data'!W9</f>
        <v>0</v>
      </c>
    </row>
    <row r="11" spans="1:46" ht="99.75" customHeight="1">
      <c r="A11" s="102" t="str">
        <f>'1. All Data'!C10</f>
        <v>CR09</v>
      </c>
      <c r="B11" s="134" t="str">
        <f>'1. All Data'!D10</f>
        <v>Market Hall Development Initiatives</v>
      </c>
      <c r="C11" s="135" t="str">
        <f>'1. All Data'!E10</f>
        <v xml:space="preserve">Implement the outcome of the Market Hall future options review </v>
      </c>
      <c r="D11" s="131" t="str">
        <f>'1. All Data'!I10</f>
        <v>Deferred</v>
      </c>
      <c r="E11" s="103"/>
      <c r="F11" s="132" t="str">
        <f>'1. All Data'!N10</f>
        <v>Deferred</v>
      </c>
      <c r="G11" s="104"/>
      <c r="H11" s="133">
        <f>'1. All Data'!S10</f>
        <v>0</v>
      </c>
      <c r="I11" s="104"/>
      <c r="J11" s="133">
        <f>'1. All Data'!W10</f>
        <v>0</v>
      </c>
    </row>
    <row r="12" spans="1:46" ht="99.75" customHeight="1">
      <c r="A12" s="102" t="str">
        <f>'1. All Data'!C11</f>
        <v>CR10</v>
      </c>
      <c r="B12" s="134" t="str">
        <f>'1. All Data'!D11</f>
        <v>Market Development Initiatives</v>
      </c>
      <c r="C12" s="135" t="str">
        <f>'1. All Data'!E11</f>
        <v xml:space="preserve">Hold at least 7 commercial events in the Market Hall/Market Place </v>
      </c>
      <c r="D12" s="131" t="str">
        <f>'1. All Data'!I11</f>
        <v>On Track to be Achieved</v>
      </c>
      <c r="E12" s="104"/>
      <c r="F12" s="132" t="str">
        <f>'1. All Data'!N11</f>
        <v>In Danger of Falling Behind Target</v>
      </c>
      <c r="G12" s="104"/>
      <c r="H12" s="133">
        <f>'1. All Data'!S11</f>
        <v>0</v>
      </c>
      <c r="I12" s="111"/>
      <c r="J12" s="133">
        <f>'1. All Data'!W11</f>
        <v>0</v>
      </c>
    </row>
    <row r="13" spans="1:46" ht="99.75" customHeight="1">
      <c r="A13" s="102" t="str">
        <f>'1. All Data'!C12</f>
        <v>CR11</v>
      </c>
      <c r="B13" s="134" t="str">
        <f>'1. All Data'!D12</f>
        <v>Market Hall Development Initiatives</v>
      </c>
      <c r="C13" s="135" t="str">
        <f>'1. All Data'!E12</f>
        <v>Continue to benchmark Market Hall performance through APSE membership</v>
      </c>
      <c r="D13" s="131" t="str">
        <f>'1. All Data'!I12</f>
        <v>On Track to be Achieved</v>
      </c>
      <c r="E13" s="104"/>
      <c r="F13" s="132" t="str">
        <f>'1. All Data'!N12</f>
        <v>Fully Achieved</v>
      </c>
      <c r="G13" s="104"/>
      <c r="H13" s="133">
        <f>'1. All Data'!S12</f>
        <v>0</v>
      </c>
      <c r="I13" s="104"/>
      <c r="J13" s="133">
        <f>'1. All Data'!W12</f>
        <v>0</v>
      </c>
    </row>
    <row r="14" spans="1:46" ht="99.75" customHeight="1">
      <c r="A14" s="102" t="str">
        <f>'1. All Data'!C13</f>
        <v>CR12</v>
      </c>
      <c r="B14" s="134" t="str">
        <f>'1. All Data'!D13</f>
        <v>Major Planning Applications Determined Within 13 Weeks</v>
      </c>
      <c r="C14" s="135" t="str">
        <f>'1. All Data'!E13</f>
        <v>Top Quartile as measured against relevant MHCLG figures</v>
      </c>
      <c r="D14" s="131" t="str">
        <f>'1. All Data'!I13</f>
        <v>On Track to be Achieved</v>
      </c>
      <c r="E14" s="104"/>
      <c r="F14" s="132" t="str">
        <f>'1. All Data'!N13</f>
        <v>On Track to be Achieved</v>
      </c>
      <c r="G14" s="104"/>
      <c r="H14" s="133">
        <f>'1. All Data'!S13</f>
        <v>0</v>
      </c>
      <c r="I14" s="104"/>
      <c r="J14" s="133">
        <f>'1. All Data'!W13</f>
        <v>0</v>
      </c>
    </row>
    <row r="15" spans="1:46" ht="99.75" customHeight="1">
      <c r="A15" s="102" t="str">
        <f>'1. All Data'!C14</f>
        <v>CR13</v>
      </c>
      <c r="B15" s="134" t="str">
        <f>'1. All Data'!D14</f>
        <v>Minor Planning Applications Determined Within 8 Weeks</v>
      </c>
      <c r="C15" s="135" t="str">
        <f>'1. All Data'!E14</f>
        <v>Top Quartile as measured against relevant MHCLG figures</v>
      </c>
      <c r="D15" s="131" t="str">
        <f>'1. All Data'!I14</f>
        <v>On Track to be Achieved</v>
      </c>
      <c r="E15" s="104"/>
      <c r="F15" s="132" t="str">
        <f>'1. All Data'!N14</f>
        <v>On Track to be Achieved</v>
      </c>
      <c r="G15" s="104"/>
      <c r="H15" s="133">
        <f>'1. All Data'!S14</f>
        <v>0</v>
      </c>
      <c r="I15" s="104"/>
      <c r="J15" s="133">
        <f>'1. All Data'!W14</f>
        <v>0</v>
      </c>
    </row>
    <row r="16" spans="1:46" ht="99.75" customHeight="1">
      <c r="A16" s="102" t="str">
        <f>'1. All Data'!C15</f>
        <v>CR14</v>
      </c>
      <c r="B16" s="134" t="str">
        <f>'1. All Data'!D15</f>
        <v>Other Planning Applications Determined in 8 Weeks</v>
      </c>
      <c r="C16" s="135" t="str">
        <f>'1. All Data'!E15</f>
        <v>Top Quartile as measured against relevant MHCLG figures</v>
      </c>
      <c r="D16" s="131" t="str">
        <f>'1. All Data'!I15</f>
        <v>On Track to be Achieved</v>
      </c>
      <c r="E16" s="104"/>
      <c r="F16" s="132" t="str">
        <f>'1. All Data'!N15</f>
        <v>On Track to be Achieved</v>
      </c>
      <c r="G16" s="104"/>
      <c r="H16" s="133">
        <f>'1. All Data'!S15</f>
        <v>0</v>
      </c>
      <c r="I16" s="104"/>
      <c r="J16" s="133">
        <f>'1. All Data'!W15</f>
        <v>0</v>
      </c>
    </row>
    <row r="17" spans="1:10" ht="99.75" customHeight="1">
      <c r="A17" s="102" t="str">
        <f>'1. All Data'!C16</f>
        <v>CR15</v>
      </c>
      <c r="B17" s="134" t="str">
        <f>'1. All Data'!D16</f>
        <v>Supporting Neighbourhood Plans</v>
      </c>
      <c r="C17" s="135" t="str">
        <f>'1. All Data'!E16</f>
        <v>Rolleston Neighbourhood Plan Made</v>
      </c>
      <c r="D17" s="131" t="str">
        <f>'1. All Data'!I16</f>
        <v>Deferred</v>
      </c>
      <c r="E17" s="104"/>
      <c r="F17" s="132" t="str">
        <f>'1. All Data'!N16</f>
        <v>Deferred</v>
      </c>
      <c r="G17" s="104"/>
      <c r="H17" s="133">
        <f>'1. All Data'!S16</f>
        <v>0</v>
      </c>
      <c r="I17" s="104"/>
      <c r="J17" s="133">
        <f>'1. All Data'!W16</f>
        <v>0</v>
      </c>
    </row>
    <row r="18" spans="1:10" ht="99.75" customHeight="1">
      <c r="A18" s="102" t="str">
        <f>'1. All Data'!C17</f>
        <v>CR16</v>
      </c>
      <c r="B18" s="134" t="str">
        <f>'1. All Data'!D17</f>
        <v>New and Refreshed Planning Policies</v>
      </c>
      <c r="C18" s="135" t="str">
        <f>'1. All Data'!E17</f>
        <v>Finalise and adopt Brewery Building Conversion Design Guidance SPD</v>
      </c>
      <c r="D18" s="131" t="str">
        <f>'1. All Data'!I17</f>
        <v>On Track to be Achieved</v>
      </c>
      <c r="E18" s="104"/>
      <c r="F18" s="132" t="str">
        <f>'1. All Data'!N17</f>
        <v>On Track to be Achieved</v>
      </c>
      <c r="G18" s="104"/>
      <c r="H18" s="133">
        <f>'1. All Data'!S17</f>
        <v>0</v>
      </c>
      <c r="I18" s="104"/>
      <c r="J18" s="133">
        <f>'1. All Data'!W17</f>
        <v>0</v>
      </c>
    </row>
    <row r="19" spans="1:10" ht="99.75" customHeight="1">
      <c r="A19" s="102" t="str">
        <f>'1. All Data'!C18</f>
        <v>CR17</v>
      </c>
      <c r="B19" s="134" t="str">
        <f>'1. All Data'!D18</f>
        <v>New and Refreshed Planning Policies</v>
      </c>
      <c r="C19" s="135" t="str">
        <f>'1. All Data'!E18</f>
        <v>Publish Revised Statement of Community Involvement</v>
      </c>
      <c r="D19" s="131" t="str">
        <f>'1. All Data'!I18</f>
        <v>On Track to be Achieved</v>
      </c>
      <c r="E19" s="103"/>
      <c r="F19" s="132" t="str">
        <f>'1. All Data'!N18</f>
        <v>On Track to be Achieved</v>
      </c>
      <c r="G19" s="104"/>
      <c r="H19" s="133">
        <f>'1. All Data'!S18</f>
        <v>0</v>
      </c>
      <c r="I19" s="104"/>
      <c r="J19" s="133">
        <f>'1. All Data'!W18</f>
        <v>0</v>
      </c>
    </row>
    <row r="20" spans="1:10" ht="99.75" customHeight="1">
      <c r="A20" s="102" t="str">
        <f>'1. All Data'!C19</f>
        <v>CR18</v>
      </c>
      <c r="B20" s="134" t="str">
        <f>'1. All Data'!D19</f>
        <v>New and Refreshed Planning Policies</v>
      </c>
      <c r="C20" s="135" t="str">
        <f>'1. All Data'!E19</f>
        <v xml:space="preserve">Produce report and approach regarding Brownfield Register Part 2  </v>
      </c>
      <c r="D20" s="131" t="str">
        <f>'1. All Data'!I19</f>
        <v>On Track to be Achieved</v>
      </c>
      <c r="E20" s="103"/>
      <c r="F20" s="132" t="str">
        <f>'1. All Data'!N19</f>
        <v>On Track to be Achieved</v>
      </c>
      <c r="G20" s="104"/>
      <c r="H20" s="133">
        <f>'1. All Data'!S19</f>
        <v>0</v>
      </c>
      <c r="I20" s="104"/>
      <c r="J20" s="133">
        <f>'1. All Data'!W19</f>
        <v>0</v>
      </c>
    </row>
    <row r="21" spans="1:10" ht="99.75" customHeight="1">
      <c r="A21" s="102" t="str">
        <f>'1. All Data'!C20</f>
        <v>CR19</v>
      </c>
      <c r="B21" s="134" t="str">
        <f>'1. All Data'!D20</f>
        <v>New and Refreshed Planning Policies</v>
      </c>
      <c r="C21" s="135" t="str">
        <f>'1. All Data'!E20</f>
        <v xml:space="preserve">Revise and adopt Car parking SPD </v>
      </c>
      <c r="D21" s="131" t="str">
        <f>'1. All Data'!I20</f>
        <v>On Track to be Achieved</v>
      </c>
      <c r="E21" s="104"/>
      <c r="F21" s="132" t="str">
        <f>'1. All Data'!N20</f>
        <v>On Track to be Achieved</v>
      </c>
      <c r="G21" s="104"/>
      <c r="H21" s="133">
        <f>'1. All Data'!S20</f>
        <v>0</v>
      </c>
      <c r="I21" s="104"/>
      <c r="J21" s="133">
        <f>'1. All Data'!W20</f>
        <v>0</v>
      </c>
    </row>
    <row r="22" spans="1:10" ht="99.75" customHeight="1">
      <c r="A22" s="102" t="str">
        <f>'1. All Data'!C21</f>
        <v>CR20</v>
      </c>
      <c r="B22" s="134" t="str">
        <f>'1. All Data'!D21</f>
        <v>Improve Burton town centre through significant environmental regeneration</v>
      </c>
      <c r="C22" s="135" t="str">
        <f>'1. All Data'!E21</f>
        <v>Practical completion of the Station Street works via Amey</v>
      </c>
      <c r="D22" s="131" t="str">
        <f>'1. All Data'!I21</f>
        <v>On Track to be Achieved</v>
      </c>
      <c r="E22" s="104"/>
      <c r="F22" s="132" t="str">
        <f>'1. All Data'!N21</f>
        <v>On Track to be Achieved</v>
      </c>
      <c r="G22" s="104"/>
      <c r="H22" s="133">
        <f>'1. All Data'!S21</f>
        <v>0</v>
      </c>
      <c r="I22" s="104"/>
      <c r="J22" s="133">
        <f>'1. All Data'!W21</f>
        <v>0</v>
      </c>
    </row>
    <row r="23" spans="1:10" ht="99.75" customHeight="1">
      <c r="A23" s="102" t="str">
        <f>'1. All Data'!C22</f>
        <v>CR21</v>
      </c>
      <c r="B23" s="134" t="str">
        <f>'1. All Data'!D22</f>
        <v xml:space="preserve">Improve Burton town centre through significant environmental regeneration </v>
      </c>
      <c r="C23" s="135" t="str">
        <f>'1. All Data'!E22</f>
        <v>Deliver phase 1 of the Washlands Enhancement Project, fully utilising the GBSLEP Local Growth Fund monies</v>
      </c>
      <c r="D23" s="131" t="str">
        <f>'1. All Data'!I22</f>
        <v>On Track to be Achieved</v>
      </c>
      <c r="E23" s="104"/>
      <c r="F23" s="132" t="str">
        <f>'1. All Data'!N22</f>
        <v>On Track to be Achieved</v>
      </c>
      <c r="G23" s="104"/>
      <c r="H23" s="133">
        <f>'1. All Data'!S22</f>
        <v>0</v>
      </c>
      <c r="I23" s="104"/>
      <c r="J23" s="133">
        <f>'1. All Data'!W22</f>
        <v>0</v>
      </c>
    </row>
    <row r="24" spans="1:10" ht="99.75" customHeight="1">
      <c r="A24" s="102" t="str">
        <f>'1. All Data'!C23</f>
        <v>CR22</v>
      </c>
      <c r="B24" s="134" t="str">
        <f>'1. All Data'!D23</f>
        <v>Work towards achieving transformation regeneration for Burton upon Trent of up to £25m through the Towns Fund</v>
      </c>
      <c r="C24" s="135" t="str">
        <f>'1. All Data'!E23</f>
        <v>Working with the Town Deal Board, develop a Town Investment Plan for Burton and create a business case for funding</v>
      </c>
      <c r="D24" s="131" t="str">
        <f>'1. All Data'!I23</f>
        <v>On Track to be Achieved</v>
      </c>
      <c r="E24" s="104"/>
      <c r="F24" s="132" t="str">
        <f>'1. All Data'!N23</f>
        <v>On Track to be Achieved</v>
      </c>
      <c r="G24" s="104"/>
      <c r="H24" s="133">
        <f>'1. All Data'!S23</f>
        <v>0</v>
      </c>
      <c r="I24" s="104"/>
      <c r="J24" s="133">
        <f>'1. All Data'!W23</f>
        <v>0</v>
      </c>
    </row>
    <row r="25" spans="1:10" ht="99.75" customHeight="1">
      <c r="A25" s="102" t="str">
        <f>'1. All Data'!C24</f>
        <v>CR23</v>
      </c>
      <c r="B25" s="134" t="str">
        <f>'1. All Data'!D24</f>
        <v>Support the delivery of affordable housing on brownfield land through the utilisation of S106 commuted sums</v>
      </c>
      <c r="C25" s="135" t="str">
        <f>'1. All Data'!E24</f>
        <v>Review the progress of existing S106 commuted sums and identify new projects for potential funding</v>
      </c>
      <c r="D25" s="131" t="str">
        <f>'1. All Data'!I24</f>
        <v>Not Yet Due</v>
      </c>
      <c r="E25" s="104"/>
      <c r="F25" s="132" t="str">
        <f>'1. All Data'!N24</f>
        <v>On Track to be Achieved</v>
      </c>
      <c r="G25" s="104"/>
      <c r="H25" s="133">
        <f>'1. All Data'!S24</f>
        <v>0</v>
      </c>
      <c r="I25" s="104"/>
      <c r="J25" s="133">
        <f>'1. All Data'!W24</f>
        <v>0</v>
      </c>
    </row>
    <row r="26" spans="1:10" ht="99.75" customHeight="1">
      <c r="A26" s="102" t="str">
        <f>'1. All Data'!C25</f>
        <v>CR24</v>
      </c>
      <c r="B26" s="134" t="str">
        <f>'1. All Data'!D25</f>
        <v>Identify a vision for the future regeneration of Uttoxeter</v>
      </c>
      <c r="C26" s="135" t="str">
        <f>'1. All Data'!E25</f>
        <v>Member approval of the final Uttoxeter Masterplan</v>
      </c>
      <c r="D26" s="131" t="str">
        <f>'1. All Data'!I25</f>
        <v>On Track to be Achieved</v>
      </c>
      <c r="E26" s="104"/>
      <c r="F26" s="132" t="str">
        <f>'1. All Data'!N25</f>
        <v>On Track to be Achieved</v>
      </c>
      <c r="G26" s="111"/>
      <c r="H26" s="133">
        <f>'1. All Data'!S25</f>
        <v>0</v>
      </c>
      <c r="I26" s="104"/>
      <c r="J26" s="133">
        <f>'1. All Data'!W25</f>
        <v>0</v>
      </c>
    </row>
    <row r="27" spans="1:10" ht="99.75" customHeight="1">
      <c r="A27" s="102" t="str">
        <f>'1. All Data'!C26</f>
        <v>CR25</v>
      </c>
      <c r="B27" s="134" t="str">
        <f>'1. All Data'!D26</f>
        <v>Promote local employment opportunities</v>
      </c>
      <c r="C27" s="135" t="str">
        <f>'1. All Data'!E26</f>
        <v>Working with the Worklessness Action Group and local MP, support the delivery of three job fairs</v>
      </c>
      <c r="D27" s="131" t="str">
        <f>'1. All Data'!I26</f>
        <v>In Danger of Falling Behind Target</v>
      </c>
      <c r="E27" s="104"/>
      <c r="F27" s="132" t="str">
        <f>'1. All Data'!N26</f>
        <v>On Track to be Achieved</v>
      </c>
      <c r="G27" s="104"/>
      <c r="H27" s="133">
        <f>'1. All Data'!S26</f>
        <v>0</v>
      </c>
      <c r="I27" s="104"/>
      <c r="J27" s="133">
        <f>'1. All Data'!W26</f>
        <v>0</v>
      </c>
    </row>
    <row r="28" spans="1:10" ht="99.75" customHeight="1">
      <c r="A28" s="102" t="str">
        <f>'1. All Data'!C27</f>
        <v>CR26</v>
      </c>
      <c r="B28" s="134" t="str">
        <f>'1. All Data'!D27</f>
        <v>Continue to support local businesses to grow and innovate</v>
      </c>
      <c r="C28" s="135" t="str">
        <f>'1. All Data'!E27</f>
        <v>Create a grant fund to support small businesses and deliver throughout the year</v>
      </c>
      <c r="D28" s="131" t="str">
        <f>'1. All Data'!I27</f>
        <v>Not Yet Due</v>
      </c>
      <c r="E28" s="103"/>
      <c r="F28" s="132" t="str">
        <f>'1. All Data'!N27</f>
        <v>On Track to be Achieved</v>
      </c>
      <c r="G28" s="104"/>
      <c r="H28" s="133">
        <f>'1. All Data'!S27</f>
        <v>0</v>
      </c>
      <c r="I28" s="104"/>
      <c r="J28" s="133">
        <f>'1. All Data'!W27</f>
        <v>0</v>
      </c>
    </row>
    <row r="29" spans="1:10" ht="99.75" customHeight="1">
      <c r="A29" s="102" t="str">
        <f>'1. All Data'!C28</f>
        <v>CR27</v>
      </c>
      <c r="B29" s="134" t="str">
        <f>'1. All Data'!D28</f>
        <v>Continue to support local businesses to grow and innovate</v>
      </c>
      <c r="C29" s="135" t="str">
        <f>'1. All Data'!E28</f>
        <v>Provide direct support to 20 businesses through the Growth Hub Advisor contract</v>
      </c>
      <c r="D29" s="131" t="str">
        <f>'1. All Data'!I28</f>
        <v>On Track to be Achieved</v>
      </c>
      <c r="E29" s="104"/>
      <c r="F29" s="132" t="str">
        <f>'1. All Data'!N28</f>
        <v>On Track to be Achieved</v>
      </c>
      <c r="G29" s="112"/>
      <c r="H29" s="133">
        <f>'1. All Data'!S28</f>
        <v>0</v>
      </c>
      <c r="I29" s="104"/>
      <c r="J29" s="133">
        <f>'1. All Data'!W28</f>
        <v>0</v>
      </c>
    </row>
    <row r="30" spans="1:10" ht="99.75" customHeight="1">
      <c r="A30" s="102" t="str">
        <f>'1. All Data'!C29</f>
        <v>CR28</v>
      </c>
      <c r="B30" s="134" t="str">
        <f>'1. All Data'!D29</f>
        <v>Continue to work effectively with regeneration partners</v>
      </c>
      <c r="C30" s="135" t="str">
        <f>'1. All Data'!E29</f>
        <v>Continue to work with strategic tourism partners, such as the National Forest, the Campaign to Reopen the Ivanhoe Line and the TTTV, on the regeneration of the borough</v>
      </c>
      <c r="D30" s="131" t="str">
        <f>'1. All Data'!I29</f>
        <v>On Track to be Achieved</v>
      </c>
      <c r="E30" s="104"/>
      <c r="F30" s="132" t="str">
        <f>'1. All Data'!N29</f>
        <v>On Track to be Achieved</v>
      </c>
      <c r="G30" s="104"/>
      <c r="H30" s="133">
        <f>'1. All Data'!S29</f>
        <v>0</v>
      </c>
      <c r="I30" s="104"/>
      <c r="J30" s="133">
        <f>'1. All Data'!W29</f>
        <v>0</v>
      </c>
    </row>
    <row r="31" spans="1:10" ht="99.75" customHeight="1">
      <c r="A31" s="102" t="str">
        <f>'1. All Data'!C30</f>
        <v>EHW01</v>
      </c>
      <c r="B31" s="134" t="str">
        <f>'1. All Data'!D30</f>
        <v>Delivering Better Services to Support Homelessness</v>
      </c>
      <c r="C31" s="135" t="str">
        <f>'1. All Data'!E30</f>
        <v>Promote, monitor and report on the Burton and East Staffordshire Partnership, produce two activity reports during the year</v>
      </c>
      <c r="D31" s="131" t="str">
        <f>'1. All Data'!I30</f>
        <v>On Track to be Achieved</v>
      </c>
      <c r="E31" s="104"/>
      <c r="F31" s="132" t="str">
        <f>'1. All Data'!N30</f>
        <v>On Track to be Achieved</v>
      </c>
      <c r="G31" s="104"/>
      <c r="H31" s="133">
        <f>'1. All Data'!S30</f>
        <v>0</v>
      </c>
      <c r="I31" s="104"/>
      <c r="J31" s="133">
        <f>'1. All Data'!W30</f>
        <v>0</v>
      </c>
    </row>
    <row r="32" spans="1:10" ht="99.75" customHeight="1">
      <c r="A32" s="102" t="str">
        <f>'1. All Data'!C31</f>
        <v>EHW02</v>
      </c>
      <c r="B32" s="134" t="str">
        <f>'1. All Data'!D31</f>
        <v>Delivering Better Services to Support Homelessness</v>
      </c>
      <c r="C32" s="135" t="str">
        <f>'1. All Data'!E31</f>
        <v xml:space="preserve">Evaluate and build on the existing MHCLG/ESBC projects to target entrenched rough sleepers with two activity reports during the year
Prepare and submit new applications to MHCLG as and when appropriate during the year </v>
      </c>
      <c r="D32" s="131" t="str">
        <f>'1. All Data'!I31</f>
        <v>On Track to be Achieved</v>
      </c>
      <c r="E32" s="103"/>
      <c r="F32" s="132" t="str">
        <f>'1. All Data'!N31</f>
        <v>On Track to be Achieved</v>
      </c>
      <c r="G32" s="104"/>
      <c r="H32" s="133">
        <f>'1. All Data'!S31</f>
        <v>0</v>
      </c>
      <c r="I32" s="104"/>
      <c r="J32" s="133">
        <f>'1. All Data'!W31</f>
        <v>0</v>
      </c>
    </row>
    <row r="33" spans="1:10" ht="99.75" customHeight="1">
      <c r="A33" s="102" t="str">
        <f>'1. All Data'!C32</f>
        <v>EHW03</v>
      </c>
      <c r="B33" s="134" t="str">
        <f>'1. All Data'!D32</f>
        <v>Proactively reducing the number of empty homes in the borough</v>
      </c>
      <c r="C33" s="135" t="str">
        <f>'1. All Data'!E32</f>
        <v>Produce annual contract performance report</v>
      </c>
      <c r="D33" s="131" t="str">
        <f>'1. All Data'!I32</f>
        <v>On Track to be Achieved</v>
      </c>
      <c r="E33" s="104"/>
      <c r="F33" s="132" t="str">
        <f>'1. All Data'!N32</f>
        <v>On Track to be Achieved</v>
      </c>
      <c r="G33" s="104"/>
      <c r="H33" s="133">
        <f>'1. All Data'!S32</f>
        <v>0</v>
      </c>
      <c r="I33" s="104"/>
      <c r="J33" s="133">
        <f>'1. All Data'!W32</f>
        <v>0</v>
      </c>
    </row>
    <row r="34" spans="1:10" ht="99.75" customHeight="1">
      <c r="A34" s="102" t="str">
        <f>'1. All Data'!C33</f>
        <v>EHW04</v>
      </c>
      <c r="B34" s="134" t="str">
        <f>'1. All Data'!D33</f>
        <v>Delivering Better Services to Support Homelessness</v>
      </c>
      <c r="C34" s="135" t="str">
        <f>'1. All Data'!E33</f>
        <v>Average time from appointment to initial decision for homeless applicants of 3 days</v>
      </c>
      <c r="D34" s="131" t="str">
        <f>'1. All Data'!I33</f>
        <v>On Track to be Achieved</v>
      </c>
      <c r="E34" s="104"/>
      <c r="F34" s="132" t="str">
        <f>'1. All Data'!N33</f>
        <v>On Track to be Achieved</v>
      </c>
      <c r="G34" s="104"/>
      <c r="H34" s="133">
        <f>'1. All Data'!S33</f>
        <v>0</v>
      </c>
      <c r="I34" s="104"/>
      <c r="J34" s="133">
        <f>'1. All Data'!W33</f>
        <v>0</v>
      </c>
    </row>
    <row r="35" spans="1:10" ht="99.75" customHeight="1">
      <c r="A35" s="102" t="str">
        <f>'1. All Data'!C34</f>
        <v>EHW05</v>
      </c>
      <c r="B35" s="134" t="str">
        <f>'1. All Data'!D34</f>
        <v>Continue to Maximise Utilisation of Self Contained Temporary Accommodation for Homeless Applicants</v>
      </c>
      <c r="C35" s="135" t="str">
        <f>'1. All Data'!E34</f>
        <v>Reduce ‘Key to Key’ Void Turnaround to an average of 6 working days</v>
      </c>
      <c r="D35" s="131" t="str">
        <f>'1. All Data'!I34</f>
        <v>On Track to be Achieved</v>
      </c>
      <c r="E35" s="103"/>
      <c r="F35" s="132" t="str">
        <f>'1. All Data'!N34</f>
        <v>On Track to be Achieved</v>
      </c>
      <c r="G35" s="104"/>
      <c r="H35" s="133">
        <f>'1. All Data'!S34</f>
        <v>0</v>
      </c>
      <c r="I35" s="104"/>
      <c r="J35" s="133">
        <f>'1. All Data'!W34</f>
        <v>0</v>
      </c>
    </row>
    <row r="36" spans="1:10" ht="99.75" customHeight="1">
      <c r="A36" s="102" t="str">
        <f>'1. All Data'!C35</f>
        <v>EHW06</v>
      </c>
      <c r="B36" s="134" t="str">
        <f>'1. All Data'!D35</f>
        <v xml:space="preserve">Improving our Housing Strategy Initiatives </v>
      </c>
      <c r="C36" s="135" t="str">
        <f>'1. All Data'!E35</f>
        <v>Refreshed Housing Strategy</v>
      </c>
      <c r="D36" s="131" t="str">
        <f>'1. All Data'!I35</f>
        <v>On Track to be Achieved</v>
      </c>
      <c r="E36" s="104"/>
      <c r="F36" s="132" t="str">
        <f>'1. All Data'!N35</f>
        <v>On Track to be Achieved</v>
      </c>
      <c r="G36" s="104"/>
      <c r="H36" s="133">
        <f>'1. All Data'!S35</f>
        <v>0</v>
      </c>
      <c r="I36" s="104"/>
      <c r="J36" s="133">
        <f>'1. All Data'!W35</f>
        <v>0</v>
      </c>
    </row>
    <row r="37" spans="1:10" ht="99.75" customHeight="1">
      <c r="A37" s="102" t="str">
        <f>'1. All Data'!C36</f>
        <v>EHW07</v>
      </c>
      <c r="B37" s="134" t="str">
        <f>'1. All Data'!D36</f>
        <v>Improving our Housing Strategy Initiatives</v>
      </c>
      <c r="C37" s="135" t="str">
        <f>'1. All Data'!E36</f>
        <v>Report opportunities for improving Housing Register Service</v>
      </c>
      <c r="D37" s="131" t="str">
        <f>'1. All Data'!I36</f>
        <v>On Track to be Achieved</v>
      </c>
      <c r="E37" s="103"/>
      <c r="F37" s="132" t="str">
        <f>'1. All Data'!N36</f>
        <v>On Track to be Achieved</v>
      </c>
      <c r="G37" s="104"/>
      <c r="H37" s="133">
        <f>'1. All Data'!S36</f>
        <v>0</v>
      </c>
      <c r="I37" s="104"/>
      <c r="J37" s="133">
        <f>'1. All Data'!W36</f>
        <v>0</v>
      </c>
    </row>
    <row r="38" spans="1:10" ht="99.75" customHeight="1">
      <c r="A38" s="102" t="str">
        <f>'1. All Data'!C37</f>
        <v>EHW08</v>
      </c>
      <c r="B38" s="134" t="str">
        <f>'1. All Data'!D37</f>
        <v>Maintain Top Quartile Performance For Street Cleansing - Litter</v>
      </c>
      <c r="C38" s="135" t="str">
        <f>'1. All Data'!E37</f>
        <v>Maintain Top Quartile Performance</v>
      </c>
      <c r="D38" s="131" t="str">
        <f>'1. All Data'!I37</f>
        <v>Not Yet Due</v>
      </c>
      <c r="E38" s="104"/>
      <c r="F38" s="132" t="str">
        <f>'1. All Data'!N37</f>
        <v>On Track to be Achieved</v>
      </c>
      <c r="G38" s="112"/>
      <c r="H38" s="133">
        <f>'1. All Data'!S37</f>
        <v>0</v>
      </c>
      <c r="I38" s="104"/>
      <c r="J38" s="133">
        <f>'1. All Data'!W37</f>
        <v>0</v>
      </c>
    </row>
    <row r="39" spans="1:10" ht="99.75" customHeight="1">
      <c r="A39" s="102" t="str">
        <f>'1. All Data'!C38</f>
        <v>EHW09</v>
      </c>
      <c r="B39" s="134" t="str">
        <f>'1. All Data'!D38</f>
        <v>Maintain Top Quartile Performance For Street Cleansing - Detritus</v>
      </c>
      <c r="C39" s="135" t="str">
        <f>'1. All Data'!E38</f>
        <v>Maintain Top Quartile Performance</v>
      </c>
      <c r="D39" s="131" t="str">
        <f>'1. All Data'!I38</f>
        <v>Not Yet Due</v>
      </c>
      <c r="E39" s="103"/>
      <c r="F39" s="132" t="str">
        <f>'1. All Data'!N38</f>
        <v>On Track to be Achieved</v>
      </c>
      <c r="G39" s="112"/>
      <c r="H39" s="133">
        <f>'1. All Data'!S38</f>
        <v>0</v>
      </c>
      <c r="I39" s="104"/>
      <c r="J39" s="133">
        <f>'1. All Data'!W38</f>
        <v>0</v>
      </c>
    </row>
    <row r="40" spans="1:10" ht="99.75" customHeight="1">
      <c r="A40" s="102" t="str">
        <f>'1. All Data'!C39</f>
        <v>EHW10</v>
      </c>
      <c r="B40" s="134" t="str">
        <f>'1. All Data'!D39</f>
        <v>Maintain Top Quartile Performance For Street Cleansing - Graffiti</v>
      </c>
      <c r="C40" s="135" t="str">
        <f>'1. All Data'!E39</f>
        <v>Maintain Top Quartile Performance</v>
      </c>
      <c r="D40" s="131" t="str">
        <f>'1. All Data'!I39</f>
        <v>Not Yet Due</v>
      </c>
      <c r="E40" s="104"/>
      <c r="F40" s="132" t="str">
        <f>'1. All Data'!N39</f>
        <v>On Track to be Achieved</v>
      </c>
      <c r="G40" s="104"/>
      <c r="H40" s="133">
        <f>'1. All Data'!S39</f>
        <v>0</v>
      </c>
      <c r="I40" s="104"/>
      <c r="J40" s="133">
        <f>'1. All Data'!W39</f>
        <v>0</v>
      </c>
    </row>
    <row r="41" spans="1:10" ht="99.75" customHeight="1">
      <c r="A41" s="102" t="str">
        <f>'1. All Data'!C40</f>
        <v>EHW11</v>
      </c>
      <c r="B41" s="134" t="str">
        <f>'1. All Data'!D40</f>
        <v>Maintain Top Quartile Performance For Street Cleansing – Fly-Posting</v>
      </c>
      <c r="C41" s="135" t="str">
        <f>'1. All Data'!E40</f>
        <v>Maintain Top Quartile Performance</v>
      </c>
      <c r="D41" s="131" t="str">
        <f>'1. All Data'!I40</f>
        <v>Not Yet Due</v>
      </c>
      <c r="E41" s="104"/>
      <c r="F41" s="132" t="str">
        <f>'1. All Data'!N40</f>
        <v>On Track to be Achieved</v>
      </c>
      <c r="G41" s="104"/>
      <c r="H41" s="133">
        <f>'1. All Data'!S40</f>
        <v>0</v>
      </c>
      <c r="I41" s="104"/>
      <c r="J41" s="133">
        <f>'1. All Data'!W40</f>
        <v>0</v>
      </c>
    </row>
    <row r="42" spans="1:10" ht="99.75" customHeight="1">
      <c r="A42" s="102" t="str">
        <f>'1. All Data'!C41</f>
        <v>EHW12</v>
      </c>
      <c r="B42" s="134" t="str">
        <f>'1. All Data'!D41</f>
        <v xml:space="preserve">Maintain Top Quartile Performance On Recycling </v>
      </c>
      <c r="C42" s="135" t="str">
        <f>'1. All Data'!E41</f>
        <v>Household Waste Recycled and Composted:
Maintain Top Quartile Performance</v>
      </c>
      <c r="D42" s="131" t="str">
        <f>'1. All Data'!I41</f>
        <v>On Track to be Achieved</v>
      </c>
      <c r="E42" s="103"/>
      <c r="F42" s="132" t="str">
        <f>'1. All Data'!N41</f>
        <v>On Track to be Achieved</v>
      </c>
      <c r="G42" s="112"/>
      <c r="H42" s="133">
        <f>'1. All Data'!S41</f>
        <v>0</v>
      </c>
      <c r="I42" s="112"/>
      <c r="J42" s="133">
        <f>'1. All Data'!W41</f>
        <v>0</v>
      </c>
    </row>
    <row r="43" spans="1:10" ht="99.75" customHeight="1">
      <c r="A43" s="102" t="str">
        <f>'1. All Data'!C42</f>
        <v>EHW13</v>
      </c>
      <c r="B43" s="134" t="str">
        <f>'1. All Data'!D42</f>
        <v xml:space="preserve">Maintain Top Quartile Performance On Waste Reduction </v>
      </c>
      <c r="C43" s="135" t="str">
        <f>'1. All Data'!E42</f>
        <v>Residual Household Waste Per Household: 
Maintain Top Quartile Performance</v>
      </c>
      <c r="D43" s="131" t="str">
        <f>'1. All Data'!I42</f>
        <v>On Track to be Achieved</v>
      </c>
      <c r="E43" s="103"/>
      <c r="F43" s="132" t="str">
        <f>'1. All Data'!N42</f>
        <v>On Track to be Achieved</v>
      </c>
      <c r="G43" s="104"/>
      <c r="H43" s="133">
        <f>'1. All Data'!S42</f>
        <v>0</v>
      </c>
      <c r="I43" s="104"/>
      <c r="J43" s="133">
        <f>'1. All Data'!W42</f>
        <v>0</v>
      </c>
    </row>
    <row r="44" spans="1:10" ht="99.75" customHeight="1">
      <c r="A44" s="102" t="str">
        <f>'1. All Data'!C43</f>
        <v>EHW14</v>
      </c>
      <c r="B44" s="134" t="str">
        <f>'1. All Data'!D43</f>
        <v xml:space="preserve">Open Spaces Initiatives </v>
      </c>
      <c r="C44" s="135" t="str">
        <f>'1. All Data'!E43</f>
        <v>Develop a Borough wide parks development plan</v>
      </c>
      <c r="D44" s="131" t="str">
        <f>'1. All Data'!I43</f>
        <v>Not Yet Due</v>
      </c>
      <c r="E44" s="103"/>
      <c r="F44" s="132" t="str">
        <f>'1. All Data'!N43</f>
        <v>Not Yet Due</v>
      </c>
      <c r="G44" s="104"/>
      <c r="H44" s="133">
        <f>'1. All Data'!S43</f>
        <v>0</v>
      </c>
      <c r="I44" s="104"/>
      <c r="J44" s="133">
        <f>'1. All Data'!W43</f>
        <v>0</v>
      </c>
    </row>
    <row r="45" spans="1:10" ht="99.75" customHeight="1">
      <c r="A45" s="102" t="str">
        <f>'1. All Data'!C44</f>
        <v>EHW15</v>
      </c>
      <c r="B45" s="134" t="str">
        <f>'1. All Data'!D44</f>
        <v xml:space="preserve">Open Spaces Initiatives </v>
      </c>
      <c r="C45" s="135" t="str">
        <f>'1. All Data'!E44</f>
        <v>Achieve 2 in bloom gold awards and support Uttoxeter in the 2020 National In bloom awards</v>
      </c>
      <c r="D45" s="131" t="str">
        <f>'1. All Data'!I44</f>
        <v>Deferred</v>
      </c>
      <c r="E45" s="104"/>
      <c r="F45" s="132" t="str">
        <f>'1. All Data'!N44</f>
        <v>Deferred</v>
      </c>
      <c r="G45" s="104"/>
      <c r="H45" s="133">
        <f>'1. All Data'!S44</f>
        <v>0</v>
      </c>
      <c r="I45" s="104"/>
      <c r="J45" s="133">
        <f>'1. All Data'!W44</f>
        <v>0</v>
      </c>
    </row>
    <row r="46" spans="1:10" ht="99.75" customHeight="1">
      <c r="A46" s="102" t="str">
        <f>'1. All Data'!C46</f>
        <v>EHW17</v>
      </c>
      <c r="B46" s="134" t="str">
        <f>'1. All Data'!D46</f>
        <v>Open Spaces Initiatives</v>
      </c>
      <c r="C46" s="135" t="str">
        <f>'1. All Data'!E46</f>
        <v>Increase the marks awarded to the 9 parks  in  the “It’s Your Neighbourhood” Parks category by an average of 10%</v>
      </c>
      <c r="D46" s="131" t="str">
        <f>'1. All Data'!I46</f>
        <v>Deferred</v>
      </c>
      <c r="E46" s="104"/>
      <c r="F46" s="132" t="str">
        <f>'1. All Data'!N46</f>
        <v>Deferred</v>
      </c>
      <c r="G46" s="104"/>
      <c r="H46" s="133">
        <f>'1. All Data'!S46</f>
        <v>0</v>
      </c>
      <c r="I46" s="104"/>
      <c r="J46" s="133">
        <f>'1. All Data'!W46</f>
        <v>0</v>
      </c>
    </row>
    <row r="47" spans="1:10" ht="99.75" customHeight="1">
      <c r="A47" s="102" t="str">
        <f>'1. All Data'!C47</f>
        <v>EHW18</v>
      </c>
      <c r="B47" s="134" t="str">
        <f>'1. All Data'!D47</f>
        <v>Develop Tourism within the Borough</v>
      </c>
      <c r="C47" s="135" t="str">
        <f>'1. All Data'!E47</f>
        <v>Develop a tactical approach and plan for tourism in East Staffordshire</v>
      </c>
      <c r="D47" s="131" t="str">
        <f>'1. All Data'!I47</f>
        <v>On Track to be Achieved</v>
      </c>
      <c r="E47" s="104"/>
      <c r="F47" s="132" t="str">
        <f>'1. All Data'!N47</f>
        <v>On Track to be Achieved</v>
      </c>
      <c r="G47" s="104"/>
      <c r="H47" s="133">
        <f>'1. All Data'!S47</f>
        <v>0</v>
      </c>
      <c r="I47" s="104"/>
      <c r="J47" s="133">
        <f>'1. All Data'!W47</f>
        <v>0</v>
      </c>
    </row>
    <row r="48" spans="1:10" ht="99.75" customHeight="1">
      <c r="A48" s="102" t="str">
        <f>'1. All Data'!C48</f>
        <v>EHW19</v>
      </c>
      <c r="B48" s="134" t="str">
        <f>'1. All Data'!D48</f>
        <v>Compliance Inspections in support of Public Protection</v>
      </c>
      <c r="C48" s="135" t="str">
        <f>'1. All Data'!E48</f>
        <v>Undertake two high profile initiatives aimed at monitoring compliance and ensuring public protection</v>
      </c>
      <c r="D48" s="131" t="str">
        <f>'1. All Data'!I48</f>
        <v>On Track to be Achieved</v>
      </c>
      <c r="E48" s="104"/>
      <c r="F48" s="132" t="str">
        <f>'1. All Data'!N48</f>
        <v>On Track to be Achieved</v>
      </c>
      <c r="G48" s="104"/>
      <c r="H48" s="133">
        <f>'1. All Data'!S48</f>
        <v>0</v>
      </c>
      <c r="I48" s="104"/>
      <c r="J48" s="133">
        <f>'1. All Data'!W48</f>
        <v>0</v>
      </c>
    </row>
    <row r="49" spans="1:47" ht="99.75" customHeight="1">
      <c r="A49" s="102" t="str">
        <f>'1. All Data'!C49</f>
        <v>EHW20</v>
      </c>
      <c r="B49" s="134" t="str">
        <f>'1. All Data'!D49</f>
        <v>Community &amp; Civil Enforcement Initiatives</v>
      </c>
      <c r="C49" s="135" t="str">
        <f>'1. All Data'!E49</f>
        <v xml:space="preserve">Undertake 8 focused initiatives (including fly tipping) across the Borough and deliver at least 6 education programs in local schools. </v>
      </c>
      <c r="D49" s="131" t="str">
        <f>'1. All Data'!I49</f>
        <v>In Danger of Falling Behind Target</v>
      </c>
      <c r="E49" s="104"/>
      <c r="F49" s="132" t="str">
        <f>'1. All Data'!N49</f>
        <v>In Danger of Falling Behind Target</v>
      </c>
      <c r="G49" s="104"/>
      <c r="H49" s="133">
        <f>'1. All Data'!S49</f>
        <v>0</v>
      </c>
      <c r="I49" s="104"/>
      <c r="J49" s="133">
        <f>'1. All Data'!W49</f>
        <v>0</v>
      </c>
    </row>
    <row r="50" spans="1:47" ht="99.75" customHeight="1">
      <c r="A50" s="102" t="str">
        <f>'1. All Data'!C50</f>
        <v>EHW21</v>
      </c>
      <c r="B50" s="134" t="str">
        <f>'1. All Data'!D50</f>
        <v>Development of the Selective Licensing Scheme</v>
      </c>
      <c r="C50" s="135" t="str">
        <f>'1. All Data'!E50</f>
        <v>Selective Licensing Designation Approved</v>
      </c>
      <c r="D50" s="131" t="str">
        <f>'1. All Data'!I50</f>
        <v>Deferred</v>
      </c>
      <c r="E50" s="104"/>
      <c r="F50" s="132" t="str">
        <f>'1. All Data'!N50</f>
        <v>Deferred</v>
      </c>
      <c r="G50" s="112"/>
      <c r="H50" s="133">
        <f>'1. All Data'!S50</f>
        <v>0</v>
      </c>
      <c r="I50" s="112"/>
      <c r="J50" s="133">
        <f>'1. All Data'!W50</f>
        <v>0</v>
      </c>
    </row>
    <row r="51" spans="1:47" ht="99.75" customHeight="1">
      <c r="A51" s="102" t="str">
        <f>'1. All Data'!C51</f>
        <v>EHW22</v>
      </c>
      <c r="B51" s="134" t="str">
        <f>'1. All Data'!D51</f>
        <v>Development of the Selective Licensing Scheme</v>
      </c>
      <c r="C51" s="135" t="str">
        <f>'1. All Data'!E51</f>
        <v>Selective Licensing Third Year Review Complete</v>
      </c>
      <c r="D51" s="131" t="str">
        <f>'1. All Data'!I51</f>
        <v>On Track to be Achieved</v>
      </c>
      <c r="E51" s="103"/>
      <c r="F51" s="132" t="str">
        <f>'1. All Data'!N51</f>
        <v>On Track to be Achieved</v>
      </c>
      <c r="G51" s="104"/>
      <c r="H51" s="133">
        <f>'1. All Data'!S51</f>
        <v>0</v>
      </c>
      <c r="I51" s="104"/>
      <c r="J51" s="133">
        <f>'1. All Data'!W51</f>
        <v>0</v>
      </c>
    </row>
    <row r="52" spans="1:47" ht="99.75" customHeight="1">
      <c r="A52" s="102" t="str">
        <f>'1. All Data'!C52</f>
        <v>EHW23</v>
      </c>
      <c r="B52" s="134" t="str">
        <f>'1. All Data'!D52</f>
        <v>Partnership working with Trading Standards Regarding Tenant Fees</v>
      </c>
      <c r="C52" s="135" t="str">
        <f>'1. All Data'!E52</f>
        <v>Undertake a Targeted Initiative to Investigate and Enforce Compliance with Tenant Fees Legislation</v>
      </c>
      <c r="D52" s="131" t="str">
        <f>'1. All Data'!I52</f>
        <v>On Track to be Achieved</v>
      </c>
      <c r="E52" s="103"/>
      <c r="F52" s="132" t="str">
        <f>'1. All Data'!N52</f>
        <v>Not Yet Due</v>
      </c>
      <c r="G52" s="104"/>
      <c r="H52" s="133">
        <f>'1. All Data'!S52</f>
        <v>0</v>
      </c>
      <c r="I52" s="104"/>
      <c r="J52" s="133">
        <f>'1. All Data'!W52</f>
        <v>0</v>
      </c>
    </row>
    <row r="53" spans="1:47" ht="99.75" customHeight="1">
      <c r="A53" s="102" t="str">
        <f>'1. All Data'!C53</f>
        <v>EHW24</v>
      </c>
      <c r="B53" s="134" t="str">
        <f>'1. All Data'!D53</f>
        <v>Disabled Facilities Grant Review</v>
      </c>
      <c r="C53" s="135" t="str">
        <f>'1. All Data'!E53</f>
        <v>Complete Annual Review of Disabled Facilities Grant Service</v>
      </c>
      <c r="D53" s="131" t="str">
        <f>'1. All Data'!I53</f>
        <v>On Track to be Achieved</v>
      </c>
      <c r="E53" s="104"/>
      <c r="F53" s="132" t="str">
        <f>'1. All Data'!N53</f>
        <v>On Track to be Achieved</v>
      </c>
      <c r="G53" s="104"/>
      <c r="H53" s="133">
        <f>'1. All Data'!S53</f>
        <v>0</v>
      </c>
      <c r="I53" s="104"/>
      <c r="J53" s="133">
        <f>'1. All Data'!W53</f>
        <v>0</v>
      </c>
    </row>
    <row r="54" spans="1:47" ht="101.25">
      <c r="A54" s="102" t="str">
        <f>'1. All Data'!C54</f>
        <v>EHW25</v>
      </c>
      <c r="B54" s="134" t="str">
        <f>'1. All Data'!D54</f>
        <v>Climate Change &amp; Air Quality Policy</v>
      </c>
      <c r="C54" s="135" t="str">
        <f>'1. All Data'!E54</f>
        <v>Consider the declaration of a Climate Emergency and implement and monitor a Climate Change action plan-including an annual update</v>
      </c>
      <c r="D54" s="131" t="str">
        <f>'1. All Data'!I54</f>
        <v>On Track to be Achieved</v>
      </c>
      <c r="E54" s="103"/>
      <c r="F54" s="132" t="str">
        <f>'1. All Data'!N54</f>
        <v>Fully Achieved</v>
      </c>
      <c r="G54" s="112"/>
      <c r="H54" s="133">
        <f>'1. All Data'!S54</f>
        <v>0</v>
      </c>
      <c r="I54" s="104"/>
      <c r="J54" s="133">
        <f>'1. All Data'!W54</f>
        <v>0</v>
      </c>
    </row>
    <row r="55" spans="1:47" ht="99.75" customHeight="1">
      <c r="A55" s="102" t="str">
        <f>'1. All Data'!C55</f>
        <v>EHW26</v>
      </c>
      <c r="B55" s="134" t="str">
        <f>'1. All Data'!D55</f>
        <v>Multi-agency Initiatives to Combat Modern Slavery</v>
      </c>
      <c r="C55" s="135" t="str">
        <f>'1. All Data'!E55</f>
        <v>Carry out Covid-19 compliance checks across the Borough and report progress on a quarterly basis</v>
      </c>
      <c r="D55" s="131" t="str">
        <f>'1. All Data'!I55</f>
        <v>On Track to be Achieved</v>
      </c>
      <c r="E55" s="104"/>
      <c r="F55" s="132" t="str">
        <f>'1. All Data'!N55</f>
        <v>On Track to be Achieved</v>
      </c>
      <c r="G55" s="104"/>
      <c r="H55" s="133">
        <f>'1. All Data'!S55</f>
        <v>0</v>
      </c>
      <c r="I55" s="104"/>
      <c r="J55" s="133">
        <f>'1. All Data'!W55</f>
        <v>0</v>
      </c>
    </row>
    <row r="56" spans="1:47" ht="99.75" customHeight="1">
      <c r="A56" s="102" t="str">
        <f>'1. All Data'!C56</f>
        <v>VFM01</v>
      </c>
      <c r="B56" s="134" t="str">
        <f>'1. All Data'!D56</f>
        <v>Continue to Improve Financial Resilience</v>
      </c>
      <c r="C56" s="135" t="str">
        <f>'1. All Data'!E56</f>
        <v xml:space="preserve">Compliance with HMRC VAT Digitalisation Requirements </v>
      </c>
      <c r="D56" s="131" t="str">
        <f>'1. All Data'!I56</f>
        <v>On Track to be Achieved</v>
      </c>
      <c r="E56" s="104"/>
      <c r="F56" s="132" t="str">
        <f>'1. All Data'!N56</f>
        <v>On Track to be Achieved</v>
      </c>
      <c r="G56" s="104"/>
      <c r="H56" s="133">
        <f>'1. All Data'!S56</f>
        <v>0</v>
      </c>
      <c r="I56" s="104"/>
      <c r="J56" s="133">
        <f>'1. All Data'!W56</f>
        <v>0</v>
      </c>
      <c r="AU56" s="105"/>
    </row>
    <row r="57" spans="1:47" s="118" customFormat="1" ht="87.75">
      <c r="A57" s="102" t="str">
        <f>'1. All Data'!C57</f>
        <v>VFM02</v>
      </c>
      <c r="B57" s="134" t="str">
        <f>'1. All Data'!D57</f>
        <v>Continue to Improve Financial Resilience</v>
      </c>
      <c r="C57" s="135" t="str">
        <f>'1. All Data'!E57</f>
        <v>Review compliance against CIPFA FM Code of Practice</v>
      </c>
      <c r="D57" s="131" t="str">
        <f>'1. All Data'!I57</f>
        <v>Not Yet Due</v>
      </c>
      <c r="E57" s="103"/>
      <c r="F57" s="132" t="str">
        <f>'1. All Data'!N57</f>
        <v>Not Yet Due</v>
      </c>
      <c r="G57" s="104"/>
      <c r="H57" s="133">
        <f>'1. All Data'!S57</f>
        <v>0</v>
      </c>
      <c r="I57" s="104"/>
      <c r="J57" s="133">
        <f>'1. All Data'!W57</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Data'!C58</f>
        <v>VFM03</v>
      </c>
      <c r="B58" s="134" t="str">
        <f>'1. All Data'!D58</f>
        <v>Continue to Improve Financial Resilience</v>
      </c>
      <c r="C58" s="135" t="str">
        <f>'1. All Data'!E58</f>
        <v>Review and Refresh Financial Regulations</v>
      </c>
      <c r="D58" s="131" t="str">
        <f>'1. All Data'!I58</f>
        <v>Not Yet Due</v>
      </c>
      <c r="E58" s="104"/>
      <c r="F58" s="132" t="str">
        <f>'1. All Data'!N58</f>
        <v>Not Yet Due</v>
      </c>
      <c r="G58" s="104"/>
      <c r="H58" s="133">
        <f>'1. All Data'!S58</f>
        <v>0</v>
      </c>
      <c r="I58" s="104"/>
      <c r="J58" s="133">
        <f>'1. All Data'!W58</f>
        <v>0</v>
      </c>
    </row>
    <row r="59" spans="1:47" ht="99.75" customHeight="1">
      <c r="A59" s="102" t="str">
        <f>'1. All Data'!C59</f>
        <v>VFM04</v>
      </c>
      <c r="B59" s="134" t="str">
        <f>'1. All Data'!D59</f>
        <v>Continue to Improve Financial Resilience</v>
      </c>
      <c r="C59" s="135" t="str">
        <f>'1. All Data'!E59</f>
        <v>Review and Refresh Contract Procedure Rules</v>
      </c>
      <c r="D59" s="131" t="str">
        <f>'1. All Data'!I59</f>
        <v>Not Yet Due</v>
      </c>
      <c r="E59" s="103"/>
      <c r="F59" s="132" t="str">
        <f>'1. All Data'!N59</f>
        <v>Not Yet Due</v>
      </c>
      <c r="G59" s="104"/>
      <c r="H59" s="133">
        <f>'1. All Data'!S59</f>
        <v>0</v>
      </c>
      <c r="I59" s="104"/>
      <c r="J59" s="133">
        <f>'1. All Data'!W59</f>
        <v>0</v>
      </c>
    </row>
    <row r="60" spans="1:47" ht="99.75" customHeight="1">
      <c r="A60" s="102" t="str">
        <f>'1. All Data'!C60</f>
        <v>VFM05</v>
      </c>
      <c r="B60" s="134" t="str">
        <f>'1. All Data'!D60</f>
        <v>Continue to Improve Financial Resilience</v>
      </c>
      <c r="C60" s="135" t="str">
        <f>'1. All Data'!E60</f>
        <v>Undertake a Procurement Exercise for the Council’s Insurance and related support</v>
      </c>
      <c r="D60" s="131" t="str">
        <f>'1. All Data'!I60</f>
        <v>On Track to be Achieved</v>
      </c>
      <c r="E60" s="104"/>
      <c r="F60" s="132" t="str">
        <f>'1. All Data'!N60</f>
        <v>Fully Achieved</v>
      </c>
      <c r="G60" s="119"/>
      <c r="H60" s="133">
        <f>'1. All Data'!S60</f>
        <v>0</v>
      </c>
      <c r="I60" s="119"/>
      <c r="J60" s="133">
        <f>'1. All Data'!W60</f>
        <v>0</v>
      </c>
    </row>
    <row r="61" spans="1:47" s="123" customFormat="1" ht="69.75" customHeight="1">
      <c r="A61" s="102" t="str">
        <f>'1. All Data'!C61</f>
        <v>VFM06</v>
      </c>
      <c r="B61" s="134" t="str">
        <f>'1. All Data'!D61</f>
        <v>Continue to Improve Financial Resilience</v>
      </c>
      <c r="C61" s="135" t="str">
        <f>'1. All Data'!E61</f>
        <v xml:space="preserve">Develop Procurement Policy  </v>
      </c>
      <c r="D61" s="131" t="str">
        <f>'1. All Data'!I61</f>
        <v>Off Target</v>
      </c>
      <c r="E61" s="103"/>
      <c r="F61" s="132" t="str">
        <f>'1. All Data'!N61</f>
        <v>Completed Behind Schedule</v>
      </c>
      <c r="G61" s="121"/>
      <c r="H61" s="133">
        <f>'1. All Data'!S61</f>
        <v>0</v>
      </c>
      <c r="I61" s="121"/>
      <c r="J61" s="133">
        <f>'1. All Data'!W61</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Data'!C62</f>
        <v>VFM07</v>
      </c>
      <c r="B62" s="134" t="str">
        <f>'1. All Data'!D62</f>
        <v>Responding to Significant Local Government Finance Changes and Assessing the Impact on the Council’s Financial Position</v>
      </c>
      <c r="C62" s="135" t="str">
        <f>'1. All Data'!E62</f>
        <v xml:space="preserve">Activities Throughout the Year Reported in Line with the Timed Responses </v>
      </c>
      <c r="D62" s="131" t="str">
        <f>'1. All Data'!I62</f>
        <v>On Track to be Achieved</v>
      </c>
      <c r="E62" s="104"/>
      <c r="F62" s="132" t="str">
        <f>'1. All Data'!N62</f>
        <v>On Track to be Achieved</v>
      </c>
      <c r="G62" s="104"/>
      <c r="H62" s="133">
        <f>'1. All Data'!S62</f>
        <v>0</v>
      </c>
      <c r="I62" s="104"/>
      <c r="J62" s="133">
        <f>'1. All Data'!W62</f>
        <v>0</v>
      </c>
    </row>
    <row r="63" spans="1:47" ht="99.75" customHeight="1">
      <c r="A63" s="102" t="str">
        <f>'1. All Data'!C63</f>
        <v>VFM08</v>
      </c>
      <c r="B63" s="134" t="str">
        <f>'1. All Data'!D63</f>
        <v>Set the MTFS for 2021/22 onwards</v>
      </c>
      <c r="C63" s="135" t="str">
        <f>'1. All Data'!E63</f>
        <v xml:space="preserve">Set Budget for Council Approval  </v>
      </c>
      <c r="D63" s="131" t="str">
        <f>'1. All Data'!I63</f>
        <v>Not Yet Due</v>
      </c>
      <c r="E63" s="104"/>
      <c r="F63" s="132" t="str">
        <f>'1. All Data'!N63</f>
        <v>On Track to be Achieved</v>
      </c>
      <c r="G63" s="104"/>
      <c r="H63" s="133">
        <f>'1. All Data'!S63</f>
        <v>0</v>
      </c>
      <c r="I63" s="104"/>
      <c r="J63" s="133">
        <f>'1. All Data'!W63</f>
        <v>0</v>
      </c>
    </row>
    <row r="64" spans="1:47" ht="99.75" customHeight="1">
      <c r="A64" s="102" t="str">
        <f>'1. All Data'!C64</f>
        <v>VFM09</v>
      </c>
      <c r="B64" s="134" t="str">
        <f>'1. All Data'!D64</f>
        <v>Savings targets for 2020/21</v>
      </c>
      <c r="C64" s="135" t="str">
        <f>'1. All Data'!E64</f>
        <v xml:space="preserve">Achieve Savings Targets as Stated in the Medium Term Financial Strategy </v>
      </c>
      <c r="D64" s="131" t="str">
        <f>'1. All Data'!I64</f>
        <v>Deleted</v>
      </c>
      <c r="E64" s="104"/>
      <c r="F64" s="132" t="str">
        <f>'1. All Data'!N64</f>
        <v>Deleted</v>
      </c>
      <c r="G64" s="104"/>
      <c r="H64" s="133">
        <f>'1. All Data'!S64</f>
        <v>0</v>
      </c>
      <c r="I64" s="104"/>
      <c r="J64" s="133">
        <f>'1. All Data'!W64</f>
        <v>0</v>
      </c>
    </row>
    <row r="65" spans="1:10" ht="99.75" customHeight="1">
      <c r="A65" s="102" t="str">
        <f>'1. All Data'!C65</f>
        <v>VFM10</v>
      </c>
      <c r="B65" s="134" t="str">
        <f>'1. All Data'!D65</f>
        <v xml:space="preserve">Having an approved Statement of Accounts </v>
      </c>
      <c r="C65" s="135" t="str">
        <f>'1. All Data'!E65</f>
        <v xml:space="preserve">Submit Statement of Accounts to Audit Committee by the earlier Statutory Deadline </v>
      </c>
      <c r="D65" s="131" t="str">
        <f>'1. All Data'!I65</f>
        <v>On Track to be Achieved</v>
      </c>
      <c r="E65" s="104"/>
      <c r="F65" s="132" t="str">
        <f>'1. All Data'!N65</f>
        <v>On Track to be Achieved</v>
      </c>
      <c r="G65" s="104"/>
      <c r="H65" s="133">
        <f>'1. All Data'!S65</f>
        <v>0</v>
      </c>
      <c r="I65" s="104"/>
      <c r="J65" s="133">
        <f>'1. All Data'!W65</f>
        <v>0</v>
      </c>
    </row>
    <row r="66" spans="1:10" ht="99.75" customHeight="1">
      <c r="A66" s="102" t="str">
        <f>'1. All Data'!C66</f>
        <v>VFM11</v>
      </c>
      <c r="B66" s="134" t="str">
        <f>'1. All Data'!D66</f>
        <v>Prepare for a Corporate ICT refresh</v>
      </c>
      <c r="C66" s="135" t="str">
        <f>'1. All Data'!E66</f>
        <v>Commence Desktop Hardware Renewal</v>
      </c>
      <c r="D66" s="131" t="str">
        <f>'1. All Data'!I66</f>
        <v>Fully Achieved</v>
      </c>
      <c r="E66" s="104"/>
      <c r="F66" s="132" t="str">
        <f>'1. All Data'!N66</f>
        <v>Fully Achieved</v>
      </c>
      <c r="G66" s="104"/>
      <c r="H66" s="133">
        <f>'1. All Data'!S66</f>
        <v>0</v>
      </c>
      <c r="I66" s="104"/>
      <c r="J66" s="133">
        <f>'1. All Data'!W66</f>
        <v>0</v>
      </c>
    </row>
    <row r="67" spans="1:10" ht="99.75" customHeight="1">
      <c r="A67" s="102" t="str">
        <f>'1. All Data'!C67</f>
        <v>VFM12</v>
      </c>
      <c r="B67" s="134" t="str">
        <f>'1. All Data'!D67</f>
        <v>Explore opportunities for shared service/income generation</v>
      </c>
      <c r="C67" s="135" t="str">
        <f>'1. All Data'!E67</f>
        <v>Report on ICT income generation</v>
      </c>
      <c r="D67" s="131" t="str">
        <f>'1. All Data'!I67</f>
        <v>Off Target</v>
      </c>
      <c r="E67" s="104"/>
      <c r="F67" s="132" t="str">
        <f>'1. All Data'!N67</f>
        <v>Off Target</v>
      </c>
      <c r="G67" s="104"/>
      <c r="H67" s="133">
        <f>'1. All Data'!S67</f>
        <v>0</v>
      </c>
      <c r="I67" s="104"/>
      <c r="J67" s="133">
        <f>'1. All Data'!W67</f>
        <v>0</v>
      </c>
    </row>
    <row r="68" spans="1:10" ht="99.75" customHeight="1">
      <c r="A68" s="102" t="str">
        <f>'1. All Data'!C68</f>
        <v>VFM13</v>
      </c>
      <c r="B68" s="134" t="str">
        <f>'1. All Data'!D68</f>
        <v>Continuing to digitise SMARTER services</v>
      </c>
      <c r="C68" s="135" t="str">
        <f>'1. All Data'!E68</f>
        <v>Digital Strategy Refreshed and approved</v>
      </c>
      <c r="D68" s="131" t="str">
        <f>'1. All Data'!I68</f>
        <v>On Track to be Achieved</v>
      </c>
      <c r="E68" s="104"/>
      <c r="F68" s="132" t="str">
        <f>'1. All Data'!N68</f>
        <v>On Track to be Achieved</v>
      </c>
      <c r="G68" s="104"/>
      <c r="H68" s="133">
        <f>'1. All Data'!S68</f>
        <v>0</v>
      </c>
      <c r="I68" s="104"/>
      <c r="J68" s="133">
        <f>'1. All Data'!W68</f>
        <v>0</v>
      </c>
    </row>
    <row r="69" spans="1:10" ht="99.75" customHeight="1">
      <c r="A69" s="102" t="str">
        <f>'1. All Data'!C69</f>
        <v>VFM14</v>
      </c>
      <c r="B69" s="134" t="str">
        <f>'1. All Data'!D69</f>
        <v>Continuing to digitise SMARTER services</v>
      </c>
      <c r="C69" s="135" t="str">
        <f>'1. All Data'!E69</f>
        <v xml:space="preserve">80% of revised Digital Strategy targets achieved </v>
      </c>
      <c r="D69" s="131" t="str">
        <f>'1. All Data'!I69</f>
        <v>Not Yet Due</v>
      </c>
      <c r="E69" s="104"/>
      <c r="F69" s="132" t="str">
        <f>'1. All Data'!N69</f>
        <v>Not Yet Due</v>
      </c>
      <c r="G69" s="112"/>
      <c r="H69" s="133">
        <f>'1. All Data'!S69</f>
        <v>0</v>
      </c>
      <c r="I69" s="112"/>
      <c r="J69" s="133">
        <f>'1. All Data'!W69</f>
        <v>0</v>
      </c>
    </row>
    <row r="70" spans="1:10" ht="99.75" customHeight="1">
      <c r="A70" s="102" t="str">
        <f>'1. All Data'!C70</f>
        <v>VFM15</v>
      </c>
      <c r="B70" s="134" t="str">
        <f>'1. All Data'!D70</f>
        <v>Continuing to digitise SMARTER services</v>
      </c>
      <c r="C70" s="135" t="str">
        <f>'1. All Data'!E70</f>
        <v>GeoPlaces Gold Standard in ESBC related categories</v>
      </c>
      <c r="D70" s="131" t="str">
        <f>'1. All Data'!I70</f>
        <v>On Track to be Achieved</v>
      </c>
      <c r="E70" s="104"/>
      <c r="F70" s="132" t="str">
        <f>'1. All Data'!N70</f>
        <v>On Track to be Achieved</v>
      </c>
      <c r="G70" s="112"/>
      <c r="H70" s="133">
        <f>'1. All Data'!S70</f>
        <v>0</v>
      </c>
      <c r="I70" s="112"/>
      <c r="J70" s="133">
        <f>'1. All Data'!W70</f>
        <v>0</v>
      </c>
    </row>
    <row r="71" spans="1:10" ht="99.75" customHeight="1">
      <c r="A71" s="102" t="str">
        <f>'1. All Data'!C71</f>
        <v>VFM16</v>
      </c>
      <c r="B71" s="134" t="str">
        <f>'1. All Data'!D71</f>
        <v>Improved Resilience Planning</v>
      </c>
      <c r="C71" s="135" t="str">
        <f>'1. All Data'!E71</f>
        <v>Review of Rest Centres Complete</v>
      </c>
      <c r="D71" s="131" t="str">
        <f>'1. All Data'!I71</f>
        <v>Not Yet Due</v>
      </c>
      <c r="E71" s="104"/>
      <c r="F71" s="132" t="str">
        <f>'1. All Data'!N71</f>
        <v>Not Yet Due</v>
      </c>
      <c r="G71" s="112"/>
      <c r="H71" s="133">
        <f>'1. All Data'!S71</f>
        <v>0</v>
      </c>
      <c r="I71" s="112"/>
      <c r="J71" s="133">
        <f>'1. All Data'!W71</f>
        <v>0</v>
      </c>
    </row>
    <row r="72" spans="1:10" ht="99.75" customHeight="1">
      <c r="A72" s="102" t="str">
        <f>'1. All Data'!C72</f>
        <v>VFM17</v>
      </c>
      <c r="B72" s="134" t="str">
        <f>'1. All Data'!D72</f>
        <v>LGA Peer Review</v>
      </c>
      <c r="C72" s="135" t="str">
        <f>'1. All Data'!E72</f>
        <v>Work with the LGA to deliver a peer review to another council/s to build up to hosting one in East Staffordshire</v>
      </c>
      <c r="D72" s="131" t="str">
        <f>'1. All Data'!I72</f>
        <v>Deleted</v>
      </c>
      <c r="E72" s="103"/>
      <c r="F72" s="132" t="str">
        <f>'1. All Data'!N72</f>
        <v>Deleted</v>
      </c>
      <c r="G72" s="104"/>
      <c r="H72" s="133">
        <f>'1. All Data'!S72</f>
        <v>0</v>
      </c>
      <c r="I72" s="104"/>
      <c r="J72" s="133">
        <f>'1. All Data'!W72</f>
        <v>0</v>
      </c>
    </row>
    <row r="73" spans="1:10" ht="99.75" customHeight="1">
      <c r="A73" s="102" t="str">
        <f>'1. All Data'!C73</f>
        <v>VFM18a</v>
      </c>
      <c r="B73" s="134" t="str">
        <f>'1. All Data'!D73</f>
        <v xml:space="preserve">Continue to Maximise Income Through Effective Collection Processes (Previously BVPI9) </v>
      </c>
      <c r="C73" s="135" t="str">
        <f>'1. All Data'!E73</f>
        <v xml:space="preserve">Collection Rates of 
         Council Tax : 98% </v>
      </c>
      <c r="D73" s="131" t="str">
        <f>'1. All Data'!I73</f>
        <v>On Track to be Achieved</v>
      </c>
      <c r="E73" s="104"/>
      <c r="F73" s="132" t="str">
        <f>'1. All Data'!N73</f>
        <v>In Danger of Falling Behind Target</v>
      </c>
      <c r="G73" s="104"/>
      <c r="H73" s="133">
        <f>'1. All Data'!S73</f>
        <v>0</v>
      </c>
      <c r="I73" s="104"/>
      <c r="J73" s="133">
        <f>'1. All Data'!W73</f>
        <v>0</v>
      </c>
    </row>
    <row r="74" spans="1:10" ht="99.75" customHeight="1">
      <c r="A74" s="102" t="str">
        <f>'1. All Data'!C75</f>
        <v>VFM19a</v>
      </c>
      <c r="B74" s="134" t="str">
        <f>'1. All Data'!D75</f>
        <v>Continue to Maximise Income Through Effective Collection Processes: Reduce Former Years Arrears for Council Tax; NNDR; Sundry Debts</v>
      </c>
      <c r="C74" s="135" t="str">
        <f>'1. All Data'!E75</f>
        <v>Former Years Arrears for Council Tax
£2,500,000 (net of credits, amounts on arrangement and identified write offs)</v>
      </c>
      <c r="D74" s="131" t="str">
        <f>'1. All Data'!I75</f>
        <v>On Track to be Achieved</v>
      </c>
      <c r="E74" s="104"/>
      <c r="F74" s="132" t="str">
        <f>'1. All Data'!N75</f>
        <v>On Track to be Achieved</v>
      </c>
      <c r="G74" s="112"/>
      <c r="H74" s="133">
        <f>'1. All Data'!S75</f>
        <v>0</v>
      </c>
      <c r="I74" s="104"/>
      <c r="J74" s="133">
        <f>'1. All Data'!W75</f>
        <v>0</v>
      </c>
    </row>
    <row r="75" spans="1:10" ht="99.75" customHeight="1">
      <c r="A75" s="102" t="str">
        <f>'1. All Data'!C78</f>
        <v>VFM20a</v>
      </c>
      <c r="B75" s="134" t="str">
        <f>'1. All Data'!D78</f>
        <v>Maintaining excellent customer access to services with face-to-face and telephony enquiries</v>
      </c>
      <c r="C75" s="135" t="str">
        <f>'1. All Data'!E78</f>
        <v>99% of CSC and Telephony Team Enquiries Resolved at First Point of Contact</v>
      </c>
      <c r="D75" s="131" t="str">
        <f>'1. All Data'!I78</f>
        <v>Not Yet Due</v>
      </c>
      <c r="E75" s="104"/>
      <c r="F75" s="132" t="str">
        <f>'1. All Data'!N78</f>
        <v>On Track to be Achieved</v>
      </c>
      <c r="G75" s="104"/>
      <c r="H75" s="133">
        <f>'1. All Data'!S78</f>
        <v>0</v>
      </c>
      <c r="I75" s="104"/>
      <c r="J75" s="133">
        <f>'1. All Data'!W78</f>
        <v>0</v>
      </c>
    </row>
    <row r="76" spans="1:10" ht="99.75" customHeight="1">
      <c r="A76" s="102" t="str">
        <f>'1. All Data'!C80</f>
        <v>VFM21</v>
      </c>
      <c r="B76" s="134" t="str">
        <f>'1. All Data'!D80</f>
        <v>Continue to Improve the Ways We Provide Benefits to Those Most in Need:</v>
      </c>
      <c r="C76" s="135" t="str">
        <f>'1. All Data'!E80</f>
        <v>Time Taken to Process Benefit New Claims and Change Events (Previously NI 181)
5 days</v>
      </c>
      <c r="D76" s="131" t="str">
        <f>'1. All Data'!I80</f>
        <v>On Track to be Achieved</v>
      </c>
      <c r="E76" s="104"/>
      <c r="F76" s="132" t="str">
        <f>'1. All Data'!N80</f>
        <v>On Track to be Achieved</v>
      </c>
      <c r="G76" s="104"/>
      <c r="H76" s="133">
        <f>'1. All Data'!S80</f>
        <v>0</v>
      </c>
      <c r="I76" s="104"/>
      <c r="J76" s="133">
        <f>'1. All Data'!W80</f>
        <v>0</v>
      </c>
    </row>
    <row r="77" spans="1:10" ht="87.75">
      <c r="A77" s="102" t="str">
        <f>'1. All Data'!C81</f>
        <v>VFM22ai</v>
      </c>
      <c r="B77" s="134" t="str">
        <f>'1. All Data'!D81</f>
        <v>Working Towards the Reduction of Claimant Error Housing Benefit Overpayments (HBOPs)</v>
      </c>
      <c r="C77" s="135" t="str">
        <f>'1. All Data'!E81</f>
        <v>% HBOPs recovered during the year; 
90%</v>
      </c>
      <c r="D77" s="131" t="str">
        <f>'1. All Data'!I81</f>
        <v>On Track to be Achieved</v>
      </c>
      <c r="E77" s="103"/>
      <c r="F77" s="132" t="str">
        <f>'1. All Data'!N81</f>
        <v>On Track to be Achieved</v>
      </c>
      <c r="G77" s="104"/>
      <c r="H77" s="133">
        <f>'1. All Data'!S81</f>
        <v>0</v>
      </c>
      <c r="I77" s="104"/>
      <c r="J77" s="133">
        <f>'1. All Data'!W81</f>
        <v>0</v>
      </c>
    </row>
    <row r="78" spans="1:10" ht="99.75" customHeight="1">
      <c r="A78" s="102" t="str">
        <f>'1. All Data'!C84</f>
        <v>VFM23</v>
      </c>
      <c r="B78" s="134" t="str">
        <f>'1. All Data'!D84</f>
        <v>Implement the new Business Rates Rate Relief policy</v>
      </c>
      <c r="C78" s="135" t="str">
        <f>'1. All Data'!E84</f>
        <v xml:space="preserve">Revised Policy implemented </v>
      </c>
      <c r="D78" s="131" t="str">
        <f>'1. All Data'!I84</f>
        <v>Fully Achieved</v>
      </c>
      <c r="E78" s="103"/>
      <c r="F78" s="132" t="str">
        <f>'1. All Data'!N84</f>
        <v>Fully Achieved</v>
      </c>
      <c r="G78" s="111"/>
      <c r="H78" s="133">
        <f>'1. All Data'!S84</f>
        <v>0</v>
      </c>
      <c r="I78" s="111"/>
      <c r="J78" s="133">
        <f>'1. All Data'!W84</f>
        <v>0</v>
      </c>
    </row>
    <row r="79" spans="1:10" ht="99.75" customHeight="1">
      <c r="A79" s="102" t="str">
        <f>'1. All Data'!C85</f>
        <v>VFM24</v>
      </c>
      <c r="B79" s="134" t="str">
        <f>'1. All Data'!D85</f>
        <v xml:space="preserve">Prepare for Universal Credit Managed Migration  </v>
      </c>
      <c r="C79" s="135" t="str">
        <f>'1. All Data'!E85</f>
        <v>Two Member Briefings</v>
      </c>
      <c r="D79" s="131" t="str">
        <f>'1. All Data'!I85</f>
        <v>Deferred</v>
      </c>
      <c r="E79" s="103"/>
      <c r="F79" s="132" t="str">
        <f>'1. All Data'!N85</f>
        <v>Deferred</v>
      </c>
      <c r="G79" s="104"/>
      <c r="H79" s="133">
        <f>'1. All Data'!S85</f>
        <v>0</v>
      </c>
      <c r="I79" s="104"/>
      <c r="J79" s="133">
        <f>'1. All Data'!W85</f>
        <v>0</v>
      </c>
    </row>
    <row r="80" spans="1:10" ht="99.75" customHeight="1">
      <c r="A80" s="102" t="str">
        <f>'1. All Data'!C86</f>
        <v>VFM25</v>
      </c>
      <c r="B80" s="134" t="str">
        <f>'1. All Data'!D86</f>
        <v>Further Development of SMARTER working (Waste Collection)</v>
      </c>
      <c r="C80" s="135" t="str">
        <f>'1. All Data'!E86</f>
        <v>Continue with SMARTER Waste Review Service 
Two Update Reports with next steps</v>
      </c>
      <c r="D80" s="131" t="str">
        <f>'1. All Data'!I86</f>
        <v>On Track to be Achieved</v>
      </c>
      <c r="E80" s="104"/>
      <c r="F80" s="132" t="str">
        <f>'1. All Data'!N86</f>
        <v>On Track to be Achieved</v>
      </c>
      <c r="G80" s="104"/>
      <c r="H80" s="133">
        <f>'1. All Data'!S86</f>
        <v>0</v>
      </c>
      <c r="I80" s="104"/>
      <c r="J80" s="133">
        <f>'1. All Data'!W86</f>
        <v>0</v>
      </c>
    </row>
    <row r="81" spans="1:46" ht="99.75" customHeight="1">
      <c r="A81" s="102" t="str">
        <f>'1. All Data'!C87</f>
        <v>VFM26</v>
      </c>
      <c r="B81" s="134" t="str">
        <f>'1. All Data'!D87</f>
        <v>Further Development of SMARTER working  (Street Cleaning)</v>
      </c>
      <c r="C81" s="135" t="str">
        <f>'1. All Data'!E87</f>
        <v xml:space="preserve">Implement the SMARTER Street Cleaning Programme
Update report on IT Management System </v>
      </c>
      <c r="D81" s="131" t="str">
        <f>'1. All Data'!I87</f>
        <v>Not Yet Due</v>
      </c>
      <c r="E81" s="104"/>
      <c r="F81" s="132" t="str">
        <f>'1. All Data'!N87</f>
        <v>On Track to be Achieved</v>
      </c>
      <c r="G81" s="104"/>
      <c r="H81" s="133">
        <f>'1. All Data'!S87</f>
        <v>0</v>
      </c>
      <c r="I81" s="104"/>
      <c r="J81" s="133">
        <f>'1. All Data'!W87</f>
        <v>0</v>
      </c>
    </row>
    <row r="82" spans="1:46" s="118" customFormat="1" ht="87.75">
      <c r="A82" s="102" t="str">
        <f>'1. All Data'!C88</f>
        <v>VFM27</v>
      </c>
      <c r="B82" s="134" t="str">
        <f>'1. All Data'!D88</f>
        <v>Essential Procurement Activities</v>
      </c>
      <c r="C82" s="135" t="str">
        <f>'1. All Data'!E88</f>
        <v>Dry Recycling Contract / Garden Waste Contract  Procurement commenced (Options Report)</v>
      </c>
      <c r="D82" s="131" t="str">
        <f>'1. All Data'!I88</f>
        <v>Fully Achieved</v>
      </c>
      <c r="E82" s="103"/>
      <c r="F82" s="132" t="str">
        <f>'1. All Data'!N88</f>
        <v>Fully Achieved</v>
      </c>
      <c r="G82" s="104"/>
      <c r="H82" s="133">
        <f>'1. All Data'!S88</f>
        <v>0</v>
      </c>
      <c r="I82" s="104"/>
      <c r="J82" s="133">
        <f>'1. All Data'!W88</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Data'!C89</f>
        <v>VFM28</v>
      </c>
      <c r="B83" s="134" t="str">
        <f>'1. All Data'!D89</f>
        <v>Essential Procurement Activities</v>
      </c>
      <c r="C83" s="135" t="str">
        <f>'1. All Data'!E89</f>
        <v>Vehicle Procurement concluded</v>
      </c>
      <c r="D83" s="131" t="str">
        <f>'1. All Data'!I89</f>
        <v>On Track to be Achieved</v>
      </c>
      <c r="E83" s="104"/>
      <c r="F83" s="132" t="str">
        <f>'1. All Data'!N89</f>
        <v>In Danger of Falling Behind Target</v>
      </c>
      <c r="G83" s="128"/>
      <c r="H83" s="133">
        <f>'1. All Data'!S89</f>
        <v>0</v>
      </c>
      <c r="I83" s="128"/>
      <c r="J83" s="133">
        <f>'1. All Data'!W89</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Data'!C90</f>
        <v>VFM29</v>
      </c>
      <c r="B84" s="134" t="str">
        <f>'1. All Data'!D90</f>
        <v>Minimise The Number Of Missed Bin Collections</v>
      </c>
      <c r="C84" s="135" t="str">
        <f>'1. All Data'!E90</f>
        <v xml:space="preserve">Number Of Missed Bin Collections: Achieve 99.97% successful bin collections across the Borough </v>
      </c>
      <c r="D84" s="131" t="str">
        <f>'1. All Data'!I90</f>
        <v>On Track to be Achieved</v>
      </c>
      <c r="E84" s="103"/>
      <c r="F84" s="132" t="str">
        <f>'1. All Data'!N90</f>
        <v>On Track to be Achieved</v>
      </c>
      <c r="G84" s="104"/>
      <c r="H84" s="133">
        <f>'1. All Data'!S90</f>
        <v>0</v>
      </c>
      <c r="I84" s="104"/>
      <c r="J84" s="133">
        <f>'1. All Data'!W90</f>
        <v>0</v>
      </c>
    </row>
    <row r="85" spans="1:46" ht="99.75" customHeight="1">
      <c r="A85" s="102" t="str">
        <f>'1. All Data'!C91</f>
        <v>VFM30</v>
      </c>
      <c r="B85" s="134" t="str">
        <f>'1. All Data'!D91</f>
        <v xml:space="preserve">Respond to Government Policy Announcements </v>
      </c>
      <c r="C85" s="135" t="str">
        <f>'1. All Data'!E91</f>
        <v>Complete responses to Government consultations in line with consultation deadlines</v>
      </c>
      <c r="D85" s="131" t="str">
        <f>'1. All Data'!I91</f>
        <v>Not Yet Due</v>
      </c>
      <c r="E85" s="103"/>
      <c r="F85" s="132" t="str">
        <f>'1. All Data'!N91</f>
        <v>Not Yet Due</v>
      </c>
      <c r="G85" s="104"/>
      <c r="H85" s="133">
        <f>'1. All Data'!S91</f>
        <v>0</v>
      </c>
      <c r="I85" s="104"/>
      <c r="J85" s="133">
        <f>'1. All Data'!W91</f>
        <v>0</v>
      </c>
    </row>
    <row r="86" spans="1:46" ht="99.75" customHeight="1">
      <c r="A86" s="102" t="str">
        <f>'1. All Data'!C92</f>
        <v>VFM31</v>
      </c>
      <c r="B86" s="134" t="str">
        <f>'1. All Data'!D92</f>
        <v>Maintain Robust Mechanisms for Contract Managing the Leisure Service Arrangements</v>
      </c>
      <c r="C86" s="135" t="str">
        <f>'1. All Data'!E92</f>
        <v>Report on the performance of the Leisure Operator on a quarterly basis</v>
      </c>
      <c r="D86" s="131" t="str">
        <f>'1. All Data'!I92</f>
        <v>On Track to be Achieved</v>
      </c>
      <c r="E86" s="103"/>
      <c r="F86" s="132" t="str">
        <f>'1. All Data'!N92</f>
        <v>On Track to be Achieved</v>
      </c>
      <c r="G86" s="112"/>
      <c r="H86" s="133">
        <f>'1. All Data'!S92</f>
        <v>0</v>
      </c>
      <c r="I86" s="104"/>
      <c r="J86" s="133">
        <f>'1. All Data'!W92</f>
        <v>0</v>
      </c>
    </row>
    <row r="87" spans="1:46" ht="99.75" customHeight="1">
      <c r="A87" s="102" t="str">
        <f>'1. All Data'!C93</f>
        <v>VFM32</v>
      </c>
      <c r="B87" s="134" t="str">
        <f>'1. All Data'!D93</f>
        <v>Review Strategic Sport and Leisure Approach in Line with Leisure Services Contract Arrangements</v>
      </c>
      <c r="C87" s="135" t="str">
        <f>'1. All Data'!E93</f>
        <v xml:space="preserve">Undertake a follow-up benchmarking exercise supporting the delivery of the leisure operating contract </v>
      </c>
      <c r="D87" s="131" t="str">
        <f>'1. All Data'!I93</f>
        <v>Not Yet Due</v>
      </c>
      <c r="E87" s="103"/>
      <c r="F87" s="132" t="str">
        <f>'1. All Data'!N93</f>
        <v>Not Yet Due</v>
      </c>
      <c r="G87" s="104"/>
      <c r="H87" s="133">
        <f>'1. All Data'!S93</f>
        <v>0</v>
      </c>
      <c r="I87" s="104"/>
      <c r="J87" s="133">
        <f>'1. All Data'!W93</f>
        <v>0</v>
      </c>
    </row>
    <row r="88" spans="1:46" ht="99.75" customHeight="1">
      <c r="A88" s="102" t="str">
        <f>'1. All Data'!C94</f>
        <v>VFM33</v>
      </c>
      <c r="B88" s="134" t="str">
        <f>'1. All Data'!D94</f>
        <v xml:space="preserve">Work with Leisure Operator to Continue to Provide High Quality Sports Facilities </v>
      </c>
      <c r="C88" s="135" t="str">
        <f>'1. All Data'!E94</f>
        <v>Replace the Artificial Turf Pitch at Shobnall Leisure Complex</v>
      </c>
      <c r="D88" s="131" t="str">
        <f>'1. All Data'!I94</f>
        <v>Deferred</v>
      </c>
      <c r="E88" s="103"/>
      <c r="F88" s="132" t="str">
        <f>'1. All Data'!N94</f>
        <v>Deferred</v>
      </c>
      <c r="G88" s="104"/>
      <c r="H88" s="133">
        <f>'1. All Data'!S94</f>
        <v>0</v>
      </c>
      <c r="I88" s="104"/>
      <c r="J88" s="133">
        <f>'1. All Data'!W94</f>
        <v>0</v>
      </c>
    </row>
    <row r="89" spans="1:46" ht="99.75" customHeight="1">
      <c r="A89" s="102" t="str">
        <f>'1. All Data'!C95</f>
        <v>VFM34a</v>
      </c>
      <c r="B89" s="134" t="str">
        <f>'1. All Data'!D95</f>
        <v>Improve Awareness of Council Services, Venues and Initiatives</v>
      </c>
      <c r="C89" s="135" t="str">
        <f>'1. All Data'!E95</f>
        <v xml:space="preserve">Develop and communicate annual marketing plans for each leisure, culture and tourism service </v>
      </c>
      <c r="D89" s="131" t="str">
        <f>'1. All Data'!I95</f>
        <v>Completed Behind Schedule</v>
      </c>
      <c r="E89" s="104"/>
      <c r="F89" s="132" t="str">
        <f>'1. All Data'!N95</f>
        <v>Completed Behind Schedule</v>
      </c>
      <c r="G89" s="104"/>
      <c r="H89" s="133">
        <f>'1. All Data'!S95</f>
        <v>0</v>
      </c>
      <c r="I89" s="104"/>
      <c r="J89" s="133">
        <f>'1. All Data'!W95</f>
        <v>0</v>
      </c>
    </row>
    <row r="90" spans="1:46" ht="99.75" customHeight="1">
      <c r="A90" s="102" t="str">
        <f>'1. All Data'!C97</f>
        <v>VFM35</v>
      </c>
      <c r="B90" s="134" t="str">
        <f>'1. All Data'!D97</f>
        <v>Improve Awareness of Council Services, Venues and Initiatives</v>
      </c>
      <c r="C90" s="135" t="str">
        <f>'1. All Data'!E97</f>
        <v>Attend and deliver a minimum of 5 events/outreach days (including Burton Market Place, Indoor shopping centres and Parks/open spaces etc.) to promote Council services in conjunction with partners.</v>
      </c>
      <c r="D90" s="131" t="str">
        <f>'1. All Data'!I97</f>
        <v>In Danger of Falling Behind Target</v>
      </c>
      <c r="E90" s="103"/>
      <c r="F90" s="132" t="str">
        <f>'1. All Data'!N97</f>
        <v>Not Yet Due</v>
      </c>
      <c r="G90" s="104"/>
      <c r="H90" s="133">
        <f>'1. All Data'!S97</f>
        <v>0</v>
      </c>
      <c r="I90" s="104"/>
      <c r="J90" s="133">
        <f>'1. All Data'!W97</f>
        <v>0</v>
      </c>
    </row>
    <row r="91" spans="1:46" ht="99.75" customHeight="1">
      <c r="A91" s="102" t="str">
        <f>'1. All Data'!C98</f>
        <v>VFM36</v>
      </c>
      <c r="B91" s="134" t="str">
        <f>'1. All Data'!D98</f>
        <v>Procurement of Grounds Maintenance Contractor</v>
      </c>
      <c r="C91" s="135" t="str">
        <f>'1. All Data'!E98</f>
        <v>Commence the process for the Grounds Maintenance contract retender</v>
      </c>
      <c r="D91" s="131" t="str">
        <f>'1. All Data'!I98</f>
        <v>On Track to be Achieved</v>
      </c>
      <c r="E91" s="104"/>
      <c r="F91" s="132" t="str">
        <f>'1. All Data'!N98</f>
        <v>On Track to be Achieved</v>
      </c>
      <c r="G91" s="104"/>
      <c r="H91" s="133">
        <f>'1. All Data'!S98</f>
        <v>0</v>
      </c>
      <c r="I91" s="104"/>
      <c r="J91" s="133">
        <f>'1. All Data'!W98</f>
        <v>0</v>
      </c>
    </row>
    <row r="92" spans="1:46" ht="99.75" customHeight="1">
      <c r="A92" s="102" t="str">
        <f>'1. All Data'!C99</f>
        <v>VFM37</v>
      </c>
      <c r="B92" s="134" t="str">
        <f>'1. All Data'!D99</f>
        <v>Improving Energy Efficiency-Facility Developments</v>
      </c>
      <c r="C92" s="135" t="str">
        <f>'1. All Data'!E99</f>
        <v>Review energy usage in Council owned buildings (e.g. Town Hall, Cemetery etc.) and investigate alternative energy sources.</v>
      </c>
      <c r="D92" s="131" t="str">
        <f>'1. All Data'!I99</f>
        <v>Not Yet Due</v>
      </c>
      <c r="E92" s="103"/>
      <c r="F92" s="132" t="str">
        <f>'1. All Data'!N99</f>
        <v>Not Yet Due</v>
      </c>
      <c r="G92" s="104"/>
      <c r="H92" s="133">
        <f>'1. All Data'!S99</f>
        <v>0</v>
      </c>
      <c r="I92" s="104"/>
      <c r="J92" s="133">
        <f>'1. All Data'!W99</f>
        <v>0</v>
      </c>
    </row>
    <row r="93" spans="1:46" ht="99.75" customHeight="1">
      <c r="A93" s="102" t="str">
        <f>'1. All Data'!C100</f>
        <v>VFM38</v>
      </c>
      <c r="B93" s="134" t="str">
        <f>'1. All Data'!D100</f>
        <v xml:space="preserve">Brewhouse, Arts and Town Hall Developments </v>
      </c>
      <c r="C93" s="135" t="str">
        <f>'1. All Data'!E100</f>
        <v>Complete the implementation of a new service delivery model.</v>
      </c>
      <c r="D93" s="131" t="str">
        <f>'1. All Data'!I100</f>
        <v>Not Yet Due</v>
      </c>
      <c r="E93" s="103"/>
      <c r="F93" s="132" t="str">
        <f>'1. All Data'!N100</f>
        <v>Not Yet Due</v>
      </c>
      <c r="G93" s="104"/>
      <c r="H93" s="133">
        <f>'1. All Data'!S100</f>
        <v>0</v>
      </c>
      <c r="I93" s="104"/>
      <c r="J93" s="133">
        <f>'1. All Data'!W100</f>
        <v>0</v>
      </c>
    </row>
    <row r="94" spans="1:46" ht="99.75" customHeight="1">
      <c r="A94" s="102" t="str">
        <f>'1. All Data'!C101</f>
        <v>VFM39</v>
      </c>
      <c r="B94" s="134" t="str">
        <f>'1. All Data'!D101</f>
        <v>Brewhouse, Arts and Town Hall Developments</v>
      </c>
      <c r="C94" s="135" t="str">
        <f>'1. All Data'!E101</f>
        <v>New Brewhouse, Arts and Town Hall service strategy document completed</v>
      </c>
      <c r="D94" s="131" t="str">
        <f>'1. All Data'!I101</f>
        <v>In Danger of Falling Behind Target</v>
      </c>
      <c r="E94" s="103"/>
      <c r="F94" s="132" t="str">
        <f>'1. All Data'!N101</f>
        <v>On Track to be Achieved</v>
      </c>
      <c r="G94" s="104"/>
      <c r="H94" s="133">
        <f>'1. All Data'!S101</f>
        <v>0</v>
      </c>
      <c r="I94" s="104"/>
      <c r="J94" s="133">
        <f>'1. All Data'!W101</f>
        <v>0</v>
      </c>
    </row>
    <row r="95" spans="1:46" ht="99.75" customHeight="1">
      <c r="A95" s="102" t="str">
        <f>'1. All Data'!C102</f>
        <v>VFM40</v>
      </c>
      <c r="B95" s="134" t="str">
        <f>'1. All Data'!D102</f>
        <v>Continue to develop SMARTER working practices for Planning</v>
      </c>
      <c r="C95" s="135" t="str">
        <f>'1. All Data'!E102</f>
        <v>Two reports identifying reviews, changes and improvements</v>
      </c>
      <c r="D95" s="131" t="str">
        <f>'1. All Data'!I102</f>
        <v>Not Yet Due</v>
      </c>
      <c r="E95" s="103"/>
      <c r="F95" s="132" t="str">
        <f>'1. All Data'!N102</f>
        <v>On Track to be Achieved</v>
      </c>
      <c r="G95" s="104"/>
      <c r="H95" s="133">
        <f>'1. All Data'!S102</f>
        <v>0</v>
      </c>
      <c r="I95" s="104"/>
      <c r="J95" s="133">
        <f>'1. All Data'!W102</f>
        <v>0</v>
      </c>
    </row>
    <row r="96" spans="1:46" ht="99.75" customHeight="1">
      <c r="A96" s="102" t="str">
        <f>'1. All Data'!C103</f>
        <v>VFM41</v>
      </c>
      <c r="B96" s="134" t="str">
        <f>'1. All Data'!D103</f>
        <v>Continue to develop SMARTER working practices for Planning</v>
      </c>
      <c r="C96" s="135" t="str">
        <f>'1. All Data'!E103</f>
        <v>Electronic Document Management System Review and recommendation</v>
      </c>
      <c r="D96" s="131" t="str">
        <f>'1. All Data'!I103</f>
        <v>Not Yet Due</v>
      </c>
      <c r="E96" s="104"/>
      <c r="F96" s="132" t="str">
        <f>'1. All Data'!N103</f>
        <v>On Track to be Achieved</v>
      </c>
      <c r="G96" s="104"/>
      <c r="H96" s="133">
        <f>'1. All Data'!S103</f>
        <v>0</v>
      </c>
      <c r="I96" s="104"/>
      <c r="J96" s="133">
        <f>'1. All Data'!W103</f>
        <v>0</v>
      </c>
    </row>
    <row r="97" spans="1:10" ht="99.75" customHeight="1">
      <c r="A97" s="102" t="str">
        <f>'1. All Data'!C104</f>
        <v>VFM42</v>
      </c>
      <c r="B97" s="134" t="str">
        <f>'1. All Data'!D104</f>
        <v>Continuing to inform and improve Planning awareness with Members</v>
      </c>
      <c r="C97" s="135" t="str">
        <f>'1. All Data'!E104</f>
        <v xml:space="preserve">At least 2 briefings delivered to elected members during the year </v>
      </c>
      <c r="D97" s="131" t="str">
        <f>'1. All Data'!I104</f>
        <v>On Track to be Achieved</v>
      </c>
      <c r="E97" s="104"/>
      <c r="F97" s="132" t="str">
        <f>'1. All Data'!N104</f>
        <v>On Track to be Achieved</v>
      </c>
      <c r="G97" s="104"/>
      <c r="H97" s="133">
        <f>'1. All Data'!S104</f>
        <v>0</v>
      </c>
      <c r="I97" s="104"/>
      <c r="J97" s="133">
        <f>'1. All Data'!W104</f>
        <v>0</v>
      </c>
    </row>
    <row r="98" spans="1:10" ht="99.75" customHeight="1">
      <c r="A98" s="102" t="str">
        <f>'1. All Data'!C105</f>
        <v>VFM43</v>
      </c>
      <c r="B98" s="134" t="str">
        <f>'1. All Data'!D105</f>
        <v>Continuing to inform and improve Planning awareness with Members</v>
      </c>
      <c r="C98" s="135" t="str">
        <f>'1. All Data'!E105</f>
        <v>Targeted Planning Committee Briefings - 10 throughout the year</v>
      </c>
      <c r="D98" s="131" t="str">
        <f>'1. All Data'!I105</f>
        <v>On Track to be Achieved</v>
      </c>
      <c r="E98" s="103"/>
      <c r="F98" s="132" t="str">
        <f>'1. All Data'!N105</f>
        <v>On Track to be Achieved</v>
      </c>
      <c r="G98" s="112"/>
      <c r="H98" s="133">
        <f>'1. All Data'!S105</f>
        <v>0</v>
      </c>
      <c r="I98" s="104"/>
      <c r="J98" s="133">
        <f>'1. All Data'!W105</f>
        <v>0</v>
      </c>
    </row>
    <row r="99" spans="1:10" ht="99.75" customHeight="1">
      <c r="A99" s="102" t="str">
        <f>'1. All Data'!C106</f>
        <v>VFM44</v>
      </c>
      <c r="B99" s="134" t="str">
        <f>'1. All Data'!D106</f>
        <v xml:space="preserve">Monitor Local Plan Performance </v>
      </c>
      <c r="C99" s="135" t="str">
        <f>'1. All Data'!E106</f>
        <v>Authority Monitoring Report  Prepared</v>
      </c>
      <c r="D99" s="131" t="str">
        <f>'1. All Data'!I106</f>
        <v>On Track to be Achieved</v>
      </c>
      <c r="E99" s="104"/>
      <c r="F99" s="132" t="str">
        <f>'1. All Data'!N106</f>
        <v>On Track to be Achieved</v>
      </c>
      <c r="G99" s="111"/>
      <c r="H99" s="133">
        <f>'1. All Data'!S106</f>
        <v>0</v>
      </c>
      <c r="I99" s="104"/>
      <c r="J99" s="133">
        <f>'1. All Data'!W106</f>
        <v>0</v>
      </c>
    </row>
    <row r="100" spans="1:10" ht="99.75" customHeight="1">
      <c r="A100" s="102" t="str">
        <f>'1. All Data'!C107</f>
        <v>VFM45</v>
      </c>
      <c r="B100" s="134" t="str">
        <f>'1. All Data'!D107</f>
        <v xml:space="preserve">Monitor Local Plan Performance </v>
      </c>
      <c r="C100" s="135" t="str">
        <f>'1. All Data'!E107</f>
        <v>Consider review of the Local Plan</v>
      </c>
      <c r="D100" s="131" t="str">
        <f>'1. All Data'!I107</f>
        <v>On Track to be Achieved</v>
      </c>
      <c r="E100" s="104"/>
      <c r="F100" s="132" t="str">
        <f>'1. All Data'!N107</f>
        <v>On Track to be Achieved</v>
      </c>
      <c r="G100" s="104"/>
      <c r="H100" s="133">
        <f>'1. All Data'!S107</f>
        <v>0</v>
      </c>
      <c r="I100" s="104"/>
      <c r="J100" s="133">
        <f>'1. All Data'!W107</f>
        <v>0</v>
      </c>
    </row>
    <row r="101" spans="1:10" ht="99.75" customHeight="1">
      <c r="A101" s="102" t="str">
        <f>'1. All Data'!C108</f>
        <v>VFM46</v>
      </c>
      <c r="B101" s="134" t="str">
        <f>'1. All Data'!D108</f>
        <v>New and Refreshed Planning Policies</v>
      </c>
      <c r="C101" s="135" t="str">
        <f>'1. All Data'!E108</f>
        <v xml:space="preserve">Prepare and publish Infrastructure Funding Statement </v>
      </c>
      <c r="D101" s="131" t="str">
        <f>'1. All Data'!I108</f>
        <v>On Track to be Achieved</v>
      </c>
      <c r="E101" s="104"/>
      <c r="F101" s="132" t="str">
        <f>'1. All Data'!N108</f>
        <v>On Track to be Achieved</v>
      </c>
      <c r="G101" s="104"/>
      <c r="H101" s="133">
        <f>'1. All Data'!S108</f>
        <v>0</v>
      </c>
      <c r="I101" s="104"/>
      <c r="J101" s="133">
        <f>'1. All Data'!W108</f>
        <v>0</v>
      </c>
    </row>
    <row r="102" spans="1:10" ht="99.75" customHeight="1">
      <c r="A102" s="102" t="str">
        <f>'1. All Data'!C109</f>
        <v>VFM47</v>
      </c>
      <c r="B102" s="134" t="str">
        <f>'1. All Data'!D109</f>
        <v xml:space="preserve">Review of the Council’s CCTV Provision </v>
      </c>
      <c r="C102" s="135" t="str">
        <f>'1. All Data'!E109</f>
        <v>Preparation of tender documentation for the CCTV Contract Renewal Completed</v>
      </c>
      <c r="D102" s="131" t="str">
        <f>'1. All Data'!I109</f>
        <v>On Track to be Achieved</v>
      </c>
      <c r="E102" s="103"/>
      <c r="F102" s="132" t="str">
        <f>'1. All Data'!N109</f>
        <v>On Track to be Achieved</v>
      </c>
      <c r="G102" s="104"/>
      <c r="H102" s="133">
        <f>'1. All Data'!S109</f>
        <v>0</v>
      </c>
      <c r="I102" s="104"/>
      <c r="J102" s="133">
        <f>'1. All Data'!W109</f>
        <v>0</v>
      </c>
    </row>
    <row r="103" spans="1:10" ht="99.75" customHeight="1">
      <c r="A103" s="102" t="str">
        <f>'1. All Data'!C110</f>
        <v>VFM48</v>
      </c>
      <c r="B103" s="134" t="str">
        <f>'1. All Data'!D110</f>
        <v xml:space="preserve">Review of the Council’s CCTV Provision </v>
      </c>
      <c r="C103" s="135" t="str">
        <f>'1. All Data'!E110</f>
        <v>Develop a Code of Practice for the use of Mobile CCTV Camera</v>
      </c>
      <c r="D103" s="131" t="str">
        <f>'1. All Data'!I110</f>
        <v>On Track to be Achieved</v>
      </c>
      <c r="E103" s="103"/>
      <c r="F103" s="132" t="str">
        <f>'1. All Data'!N110</f>
        <v>On Track to be Achieved</v>
      </c>
      <c r="G103" s="104"/>
      <c r="H103" s="133">
        <f>'1. All Data'!S110</f>
        <v>0</v>
      </c>
      <c r="I103" s="104"/>
      <c r="J103" s="133">
        <f>'1. All Data'!W110</f>
        <v>0</v>
      </c>
    </row>
    <row r="104" spans="1:10" ht="99.75" customHeight="1">
      <c r="A104" s="102" t="str">
        <f>'1. All Data'!C111</f>
        <v>VFM49</v>
      </c>
      <c r="B104" s="134" t="str">
        <f>'1. All Data'!D111</f>
        <v>Improvements for the Hackney Carriage and Private Hire Service</v>
      </c>
      <c r="C104" s="135" t="str">
        <f>'1. All Data'!E111</f>
        <v>Improvement Plan Completed</v>
      </c>
      <c r="D104" s="131" t="str">
        <f>'1. All Data'!I111</f>
        <v>On Track to be Achieved</v>
      </c>
      <c r="E104" s="104"/>
      <c r="F104" s="132" t="str">
        <f>'1. All Data'!N111</f>
        <v>On Track to be Achieved</v>
      </c>
      <c r="G104" s="104"/>
      <c r="H104" s="133">
        <f>'1. All Data'!S111</f>
        <v>0</v>
      </c>
      <c r="I104" s="104"/>
      <c r="J104" s="133">
        <f>'1. All Data'!W111</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67"/>
      <c r="B2" s="168"/>
      <c r="C2" s="169"/>
    </row>
    <row r="3" spans="1:3">
      <c r="A3" s="170"/>
      <c r="B3" s="171"/>
      <c r="C3" s="172"/>
    </row>
    <row r="4" spans="1:3">
      <c r="A4" s="170"/>
      <c r="B4" s="171"/>
      <c r="C4" s="172"/>
    </row>
    <row r="5" spans="1:3">
      <c r="A5" s="170"/>
      <c r="B5" s="171"/>
      <c r="C5" s="172"/>
    </row>
    <row r="6" spans="1:3">
      <c r="A6" s="170"/>
      <c r="B6" s="171"/>
      <c r="C6" s="172"/>
    </row>
    <row r="7" spans="1:3">
      <c r="A7" s="170"/>
      <c r="B7" s="171"/>
      <c r="C7" s="172"/>
    </row>
    <row r="8" spans="1:3">
      <c r="A8" s="170"/>
      <c r="B8" s="171"/>
      <c r="C8" s="172"/>
    </row>
    <row r="9" spans="1:3">
      <c r="A9" s="170"/>
      <c r="B9" s="171"/>
      <c r="C9" s="172"/>
    </row>
    <row r="10" spans="1:3">
      <c r="A10" s="170"/>
      <c r="B10" s="171"/>
      <c r="C10" s="172"/>
    </row>
    <row r="11" spans="1:3">
      <c r="A11" s="170"/>
      <c r="B11" s="171"/>
      <c r="C11" s="172"/>
    </row>
    <row r="12" spans="1:3">
      <c r="A12" s="170"/>
      <c r="B12" s="171"/>
      <c r="C12" s="172"/>
    </row>
    <row r="13" spans="1:3">
      <c r="A13" s="170"/>
      <c r="B13" s="171"/>
      <c r="C13" s="172"/>
    </row>
    <row r="14" spans="1:3">
      <c r="A14" s="170"/>
      <c r="B14" s="171"/>
      <c r="C14" s="172"/>
    </row>
    <row r="15" spans="1:3">
      <c r="A15" s="170"/>
      <c r="B15" s="171"/>
      <c r="C15" s="172"/>
    </row>
    <row r="16" spans="1:3">
      <c r="A16" s="170"/>
      <c r="B16" s="171"/>
      <c r="C16" s="172"/>
    </row>
    <row r="17" spans="1:3">
      <c r="A17" s="170"/>
      <c r="B17" s="171"/>
      <c r="C17" s="172"/>
    </row>
    <row r="18" spans="1:3">
      <c r="A18" s="170"/>
      <c r="B18" s="171"/>
      <c r="C18" s="172"/>
    </row>
    <row r="19" spans="1:3">
      <c r="A19" s="173"/>
      <c r="B19" s="174"/>
      <c r="C19" s="1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
  <sheetViews>
    <sheetView tabSelected="1" view="pageBreakPreview" topLeftCell="B1" zoomScale="70" zoomScaleNormal="70" zoomScaleSheetLayoutView="70" workbookViewId="0">
      <pane xSplit="5" ySplit="2" topLeftCell="G3" activePane="bottomRight" state="frozen"/>
      <selection activeCell="B1" sqref="B1"/>
      <selection pane="topRight" activeCell="F1" sqref="F1"/>
      <selection pane="bottomLeft" activeCell="B3" sqref="B3"/>
      <selection pane="bottomRight" activeCell="C3" sqref="C3"/>
    </sheetView>
  </sheetViews>
  <sheetFormatPr defaultRowHeight="15.75"/>
  <cols>
    <col min="1" max="2" width="20.42578125" style="146" customWidth="1"/>
    <col min="3" max="3" width="14.85546875" style="147" customWidth="1"/>
    <col min="4" max="4" width="49.5703125" style="148" customWidth="1"/>
    <col min="5" max="5" width="50" style="148" customWidth="1"/>
    <col min="6" max="6" width="19.28515625" style="147" customWidth="1"/>
    <col min="7" max="7" width="51.140625" style="375" customWidth="1"/>
    <col min="8" max="9" width="18.5703125" style="375" hidden="1" customWidth="1"/>
    <col min="10" max="10" width="22.7109375" style="375" hidden="1" customWidth="1"/>
    <col min="11" max="11" width="50.5703125" style="193" customWidth="1"/>
    <col min="12" max="13" width="18.42578125" style="193" customWidth="1"/>
    <col min="14" max="14" width="18.5703125" style="193" customWidth="1"/>
    <col min="15" max="15" width="50.42578125" style="193" customWidth="1"/>
    <col min="16" max="16" width="73.140625" style="375" hidden="1" customWidth="1"/>
    <col min="17" max="17" width="18.42578125" style="375" hidden="1" customWidth="1"/>
    <col min="18" max="19" width="18.5703125" style="375" hidden="1" customWidth="1"/>
    <col min="20" max="20" width="22" style="375" hidden="1" customWidth="1"/>
    <col min="21" max="21" width="48" style="375" hidden="1" customWidth="1"/>
    <col min="22" max="23" width="18.5703125" style="375" hidden="1" customWidth="1"/>
    <col min="24" max="24" width="44.28515625" style="375" hidden="1" customWidth="1"/>
    <col min="25" max="25" width="8.140625" style="147" hidden="1" customWidth="1"/>
    <col min="26" max="26" width="19.7109375" style="148" customWidth="1"/>
    <col min="27" max="28" width="20.42578125" style="146" customWidth="1"/>
    <col min="29" max="29" width="19.7109375" style="148" customWidth="1"/>
    <col min="30" max="30" width="19.7109375" style="148" hidden="1" customWidth="1"/>
    <col min="31" max="31" width="9.140625" style="151" hidden="1" customWidth="1"/>
    <col min="32" max="32" width="15.28515625" style="148" hidden="1" customWidth="1"/>
    <col min="33" max="33" width="9.140625" style="152"/>
    <col min="34" max="34" width="18.140625" style="152" customWidth="1"/>
    <col min="35" max="16384" width="9.140625" style="152"/>
  </cols>
  <sheetData>
    <row r="1" spans="1:32" ht="27.75" customHeight="1">
      <c r="F1" s="149"/>
      <c r="G1" s="385" t="s">
        <v>528</v>
      </c>
      <c r="H1" s="385"/>
      <c r="I1" s="385"/>
      <c r="J1" s="385"/>
      <c r="K1" s="386" t="s">
        <v>531</v>
      </c>
      <c r="L1" s="386"/>
      <c r="M1" s="386"/>
      <c r="N1" s="386"/>
      <c r="O1" s="386"/>
      <c r="P1" s="387" t="s">
        <v>533</v>
      </c>
      <c r="Q1" s="387"/>
      <c r="R1" s="387"/>
      <c r="S1" s="387"/>
      <c r="T1" s="387"/>
      <c r="U1" s="387" t="s">
        <v>536</v>
      </c>
      <c r="V1" s="387"/>
      <c r="W1" s="387"/>
      <c r="X1" s="387"/>
      <c r="Y1" s="150"/>
      <c r="AF1" s="315"/>
    </row>
    <row r="2" spans="1:32" s="159" customFormat="1" ht="103.5" customHeight="1" thickBot="1">
      <c r="A2" s="153" t="s">
        <v>124</v>
      </c>
      <c r="B2" s="153" t="s">
        <v>124</v>
      </c>
      <c r="C2" s="154" t="s">
        <v>158</v>
      </c>
      <c r="D2" s="155" t="s">
        <v>0</v>
      </c>
      <c r="E2" s="155" t="s">
        <v>782</v>
      </c>
      <c r="F2" s="156" t="s">
        <v>154</v>
      </c>
      <c r="G2" s="317" t="s">
        <v>527</v>
      </c>
      <c r="H2" s="317" t="s">
        <v>155</v>
      </c>
      <c r="I2" s="317" t="s">
        <v>156</v>
      </c>
      <c r="J2" s="317" t="s">
        <v>157</v>
      </c>
      <c r="K2" s="177" t="s">
        <v>529</v>
      </c>
      <c r="L2" s="177" t="s">
        <v>530</v>
      </c>
      <c r="M2" s="177" t="s">
        <v>174</v>
      </c>
      <c r="N2" s="177" t="s">
        <v>175</v>
      </c>
      <c r="O2" s="177" t="s">
        <v>176</v>
      </c>
      <c r="P2" s="318" t="s">
        <v>532</v>
      </c>
      <c r="Q2" s="318" t="s">
        <v>534</v>
      </c>
      <c r="R2" s="318" t="s">
        <v>177</v>
      </c>
      <c r="S2" s="318" t="s">
        <v>178</v>
      </c>
      <c r="T2" s="318" t="s">
        <v>179</v>
      </c>
      <c r="U2" s="318" t="s">
        <v>535</v>
      </c>
      <c r="V2" s="318" t="s">
        <v>252</v>
      </c>
      <c r="W2" s="318" t="s">
        <v>253</v>
      </c>
      <c r="X2" s="318" t="s">
        <v>180</v>
      </c>
      <c r="Y2" s="157" t="s">
        <v>118</v>
      </c>
      <c r="Z2" s="153" t="s">
        <v>112</v>
      </c>
      <c r="AA2" s="153" t="s">
        <v>123</v>
      </c>
      <c r="AB2" s="153" t="s">
        <v>214</v>
      </c>
      <c r="AC2" s="153" t="s">
        <v>109</v>
      </c>
      <c r="AD2" s="153"/>
      <c r="AE2" s="158" t="s">
        <v>150</v>
      </c>
      <c r="AF2" s="311" t="s">
        <v>729</v>
      </c>
    </row>
    <row r="3" spans="1:32" ht="146.25" customHeight="1" thickBot="1">
      <c r="A3" s="160"/>
      <c r="B3" s="319" t="s">
        <v>130</v>
      </c>
      <c r="C3" s="201" t="s">
        <v>58</v>
      </c>
      <c r="D3" s="206" t="s">
        <v>258</v>
      </c>
      <c r="E3" s="207" t="s">
        <v>259</v>
      </c>
      <c r="F3" s="208"/>
      <c r="G3" s="320" t="s">
        <v>714</v>
      </c>
      <c r="H3" s="320"/>
      <c r="I3" s="320" t="s">
        <v>169</v>
      </c>
      <c r="J3" s="321"/>
      <c r="K3" s="182" t="s">
        <v>788</v>
      </c>
      <c r="L3" s="178"/>
      <c r="M3" s="179"/>
      <c r="N3" s="180" t="s">
        <v>169</v>
      </c>
      <c r="O3" s="181"/>
      <c r="P3" s="322"/>
      <c r="Q3" s="322"/>
      <c r="R3" s="323"/>
      <c r="S3" s="324"/>
      <c r="T3" s="325"/>
      <c r="U3" s="322"/>
      <c r="V3" s="323"/>
      <c r="W3" s="324"/>
      <c r="X3" s="325"/>
      <c r="Y3" s="161"/>
      <c r="Z3" s="200" t="s">
        <v>114</v>
      </c>
      <c r="AA3" s="200" t="s">
        <v>149</v>
      </c>
      <c r="AB3" s="200" t="s">
        <v>116</v>
      </c>
      <c r="AC3" s="200" t="s">
        <v>184</v>
      </c>
      <c r="AD3" s="201" t="s">
        <v>425</v>
      </c>
      <c r="AE3" s="162" t="s">
        <v>560</v>
      </c>
      <c r="AF3" s="309" t="s">
        <v>557</v>
      </c>
    </row>
    <row r="4" spans="1:32" ht="99.95" customHeight="1" thickBot="1">
      <c r="A4" s="160"/>
      <c r="B4" s="319" t="s">
        <v>423</v>
      </c>
      <c r="C4" s="201" t="s">
        <v>59</v>
      </c>
      <c r="D4" s="206" t="s">
        <v>258</v>
      </c>
      <c r="E4" s="207" t="s">
        <v>260</v>
      </c>
      <c r="F4" s="208" t="s">
        <v>261</v>
      </c>
      <c r="G4" s="320" t="s">
        <v>715</v>
      </c>
      <c r="H4" s="320"/>
      <c r="I4" s="320" t="s">
        <v>169</v>
      </c>
      <c r="J4" s="321"/>
      <c r="K4" s="182" t="s">
        <v>799</v>
      </c>
      <c r="L4" s="182"/>
      <c r="M4" s="183"/>
      <c r="N4" s="180" t="s">
        <v>169</v>
      </c>
      <c r="O4" s="181" t="s">
        <v>788</v>
      </c>
      <c r="P4" s="326"/>
      <c r="Q4" s="326"/>
      <c r="R4" s="327"/>
      <c r="S4" s="324"/>
      <c r="T4" s="328"/>
      <c r="U4" s="326"/>
      <c r="V4" s="327"/>
      <c r="W4" s="324"/>
      <c r="X4" s="328"/>
      <c r="Y4" s="163"/>
      <c r="Z4" s="200" t="s">
        <v>114</v>
      </c>
      <c r="AA4" s="200" t="s">
        <v>149</v>
      </c>
      <c r="AB4" s="200" t="s">
        <v>116</v>
      </c>
      <c r="AC4" s="200" t="s">
        <v>184</v>
      </c>
      <c r="AD4" s="201" t="s">
        <v>426</v>
      </c>
      <c r="AE4" s="162" t="s">
        <v>561</v>
      </c>
      <c r="AF4" s="309" t="s">
        <v>557</v>
      </c>
    </row>
    <row r="5" spans="1:32" ht="99.95" customHeight="1" thickBot="1">
      <c r="A5" s="160"/>
      <c r="B5" s="319" t="s">
        <v>128</v>
      </c>
      <c r="C5" s="201" t="s">
        <v>62</v>
      </c>
      <c r="D5" s="206" t="s">
        <v>22</v>
      </c>
      <c r="E5" s="207" t="s">
        <v>744</v>
      </c>
      <c r="F5" s="208"/>
      <c r="G5" s="320" t="s">
        <v>711</v>
      </c>
      <c r="H5" s="320" t="s">
        <v>712</v>
      </c>
      <c r="I5" s="320" t="s">
        <v>169</v>
      </c>
      <c r="J5" s="321" t="s">
        <v>770</v>
      </c>
      <c r="K5" s="379" t="s">
        <v>821</v>
      </c>
      <c r="L5" s="380" t="s">
        <v>822</v>
      </c>
      <c r="M5" s="379" t="s">
        <v>823</v>
      </c>
      <c r="N5" s="180" t="s">
        <v>169</v>
      </c>
      <c r="O5" s="181"/>
      <c r="P5" s="322"/>
      <c r="Q5" s="322"/>
      <c r="R5" s="323"/>
      <c r="S5" s="324"/>
      <c r="T5" s="325"/>
      <c r="U5" s="322"/>
      <c r="V5" s="323"/>
      <c r="W5" s="324"/>
      <c r="X5" s="325"/>
      <c r="Y5" s="163"/>
      <c r="Z5" s="200" t="s">
        <v>114</v>
      </c>
      <c r="AA5" s="200" t="s">
        <v>417</v>
      </c>
      <c r="AB5" s="200" t="s">
        <v>116</v>
      </c>
      <c r="AC5" s="200" t="s">
        <v>184</v>
      </c>
      <c r="AD5" s="201" t="s">
        <v>427</v>
      </c>
      <c r="AE5" s="162" t="s">
        <v>562</v>
      </c>
      <c r="AF5" s="309" t="s">
        <v>557</v>
      </c>
    </row>
    <row r="6" spans="1:32" ht="90" customHeight="1" thickBot="1">
      <c r="A6" s="160"/>
      <c r="B6" s="319" t="s">
        <v>128</v>
      </c>
      <c r="C6" s="201" t="s">
        <v>64</v>
      </c>
      <c r="D6" s="206" t="s">
        <v>24</v>
      </c>
      <c r="E6" s="207" t="s">
        <v>745</v>
      </c>
      <c r="F6" s="208"/>
      <c r="G6" s="320" t="s">
        <v>685</v>
      </c>
      <c r="H6" s="320" t="s">
        <v>686</v>
      </c>
      <c r="I6" s="320" t="s">
        <v>169</v>
      </c>
      <c r="J6" s="321" t="s">
        <v>771</v>
      </c>
      <c r="K6" s="182" t="s">
        <v>686</v>
      </c>
      <c r="L6" s="182" t="s">
        <v>686</v>
      </c>
      <c r="M6" s="183" t="s">
        <v>686</v>
      </c>
      <c r="N6" s="180" t="s">
        <v>169</v>
      </c>
      <c r="O6" s="184"/>
      <c r="P6" s="326"/>
      <c r="Q6" s="326"/>
      <c r="R6" s="327"/>
      <c r="S6" s="329"/>
      <c r="T6" s="328"/>
      <c r="U6" s="326"/>
      <c r="V6" s="327"/>
      <c r="W6" s="324"/>
      <c r="X6" s="328"/>
      <c r="Y6" s="163"/>
      <c r="Z6" s="200" t="s">
        <v>114</v>
      </c>
      <c r="AA6" s="200" t="s">
        <v>417</v>
      </c>
      <c r="AB6" s="200" t="s">
        <v>116</v>
      </c>
      <c r="AC6" s="200" t="s">
        <v>184</v>
      </c>
      <c r="AD6" s="201" t="s">
        <v>428</v>
      </c>
      <c r="AE6" s="162" t="s">
        <v>563</v>
      </c>
      <c r="AF6" s="309" t="s">
        <v>557</v>
      </c>
    </row>
    <row r="7" spans="1:32" ht="90" customHeight="1" thickBot="1">
      <c r="A7" s="160"/>
      <c r="B7" s="319" t="s">
        <v>129</v>
      </c>
      <c r="C7" s="201" t="s">
        <v>66</v>
      </c>
      <c r="D7" s="206" t="s">
        <v>26</v>
      </c>
      <c r="E7" s="207" t="s">
        <v>262</v>
      </c>
      <c r="F7" s="208" t="s">
        <v>263</v>
      </c>
      <c r="G7" s="330"/>
      <c r="H7" s="320"/>
      <c r="I7" s="320" t="s">
        <v>173</v>
      </c>
      <c r="J7" s="331"/>
      <c r="K7" s="182" t="s">
        <v>841</v>
      </c>
      <c r="L7" s="182"/>
      <c r="M7" s="183"/>
      <c r="N7" s="180" t="s">
        <v>160</v>
      </c>
      <c r="O7" s="184"/>
      <c r="P7" s="326"/>
      <c r="Q7" s="326"/>
      <c r="R7" s="327"/>
      <c r="S7" s="329"/>
      <c r="T7" s="328"/>
      <c r="U7" s="326"/>
      <c r="V7" s="327"/>
      <c r="W7" s="324"/>
      <c r="X7" s="328"/>
      <c r="Y7" s="163"/>
      <c r="Z7" s="200" t="s">
        <v>114</v>
      </c>
      <c r="AA7" s="200" t="s">
        <v>132</v>
      </c>
      <c r="AB7" s="200" t="s">
        <v>116</v>
      </c>
      <c r="AC7" s="200" t="s">
        <v>184</v>
      </c>
      <c r="AD7" s="201" t="s">
        <v>429</v>
      </c>
      <c r="AE7" s="162" t="s">
        <v>564</v>
      </c>
      <c r="AF7" s="309" t="s">
        <v>557</v>
      </c>
    </row>
    <row r="8" spans="1:32" ht="90" customHeight="1" thickBot="1">
      <c r="A8" s="160"/>
      <c r="B8" s="319" t="s">
        <v>129</v>
      </c>
      <c r="C8" s="201" t="s">
        <v>67</v>
      </c>
      <c r="D8" s="206" t="s">
        <v>26</v>
      </c>
      <c r="E8" s="207" t="s">
        <v>264</v>
      </c>
      <c r="F8" s="208" t="s">
        <v>261</v>
      </c>
      <c r="G8" s="320"/>
      <c r="H8" s="320"/>
      <c r="I8" s="320" t="s">
        <v>173</v>
      </c>
      <c r="J8" s="321"/>
      <c r="K8" s="182"/>
      <c r="L8" s="182"/>
      <c r="M8" s="183"/>
      <c r="N8" s="180" t="s">
        <v>797</v>
      </c>
      <c r="O8" s="184"/>
      <c r="P8" s="326"/>
      <c r="Q8" s="326"/>
      <c r="R8" s="327"/>
      <c r="S8" s="329"/>
      <c r="T8" s="328"/>
      <c r="U8" s="326"/>
      <c r="V8" s="327"/>
      <c r="W8" s="324"/>
      <c r="X8" s="328"/>
      <c r="Y8" s="163"/>
      <c r="Z8" s="200" t="s">
        <v>114</v>
      </c>
      <c r="AA8" s="200" t="s">
        <v>132</v>
      </c>
      <c r="AB8" s="200" t="s">
        <v>116</v>
      </c>
      <c r="AC8" s="200" t="s">
        <v>184</v>
      </c>
      <c r="AD8" s="201" t="s">
        <v>430</v>
      </c>
      <c r="AE8" s="162" t="s">
        <v>565</v>
      </c>
      <c r="AF8" s="309" t="s">
        <v>557</v>
      </c>
    </row>
    <row r="9" spans="1:32" ht="90" customHeight="1" thickBot="1">
      <c r="A9" s="160"/>
      <c r="B9" s="319" t="s">
        <v>133</v>
      </c>
      <c r="C9" s="201" t="s">
        <v>68</v>
      </c>
      <c r="D9" s="206" t="s">
        <v>265</v>
      </c>
      <c r="E9" s="207" t="s">
        <v>266</v>
      </c>
      <c r="F9" s="208" t="s">
        <v>267</v>
      </c>
      <c r="G9" s="320" t="s">
        <v>695</v>
      </c>
      <c r="H9" s="320"/>
      <c r="I9" s="320" t="s">
        <v>160</v>
      </c>
      <c r="J9" s="321"/>
      <c r="K9" s="182" t="s">
        <v>828</v>
      </c>
      <c r="L9" s="182"/>
      <c r="M9" s="183"/>
      <c r="N9" s="180" t="s">
        <v>160</v>
      </c>
      <c r="O9" s="184"/>
      <c r="P9" s="326"/>
      <c r="Q9" s="326"/>
      <c r="R9" s="327"/>
      <c r="S9" s="324"/>
      <c r="T9" s="328"/>
      <c r="U9" s="326"/>
      <c r="V9" s="327"/>
      <c r="W9" s="324"/>
      <c r="X9" s="328"/>
      <c r="Y9" s="163"/>
      <c r="Z9" s="200" t="s">
        <v>115</v>
      </c>
      <c r="AA9" s="200" t="s">
        <v>418</v>
      </c>
      <c r="AB9" s="200" t="s">
        <v>116</v>
      </c>
      <c r="AC9" s="200" t="s">
        <v>215</v>
      </c>
      <c r="AD9" s="201" t="s">
        <v>431</v>
      </c>
      <c r="AE9" s="162" t="s">
        <v>566</v>
      </c>
      <c r="AF9" s="309" t="s">
        <v>557</v>
      </c>
    </row>
    <row r="10" spans="1:32" ht="90" customHeight="1" thickBot="1">
      <c r="A10" s="160"/>
      <c r="B10" s="319" t="s">
        <v>133</v>
      </c>
      <c r="C10" s="201" t="s">
        <v>69</v>
      </c>
      <c r="D10" s="206" t="s">
        <v>268</v>
      </c>
      <c r="E10" s="207" t="s">
        <v>269</v>
      </c>
      <c r="F10" s="208" t="s">
        <v>261</v>
      </c>
      <c r="G10" s="332" t="s">
        <v>746</v>
      </c>
      <c r="H10" s="320"/>
      <c r="I10" s="320" t="s">
        <v>167</v>
      </c>
      <c r="J10" s="331"/>
      <c r="K10" s="316" t="s">
        <v>878</v>
      </c>
      <c r="L10" s="194" t="s">
        <v>789</v>
      </c>
      <c r="M10" s="194" t="s">
        <v>789</v>
      </c>
      <c r="N10" s="180" t="s">
        <v>167</v>
      </c>
      <c r="O10" s="184" t="s">
        <v>879</v>
      </c>
      <c r="P10" s="326"/>
      <c r="Q10" s="334"/>
      <c r="R10" s="333"/>
      <c r="S10" s="329"/>
      <c r="T10" s="328"/>
      <c r="U10" s="326"/>
      <c r="V10" s="333"/>
      <c r="W10" s="324"/>
      <c r="X10" s="328"/>
      <c r="Y10" s="163"/>
      <c r="Z10" s="200" t="s">
        <v>115</v>
      </c>
      <c r="AA10" s="200" t="s">
        <v>146</v>
      </c>
      <c r="AB10" s="200" t="s">
        <v>116</v>
      </c>
      <c r="AC10" s="200" t="s">
        <v>215</v>
      </c>
      <c r="AD10" s="201" t="s">
        <v>432</v>
      </c>
      <c r="AE10" s="162" t="s">
        <v>567</v>
      </c>
      <c r="AF10" s="309" t="s">
        <v>557</v>
      </c>
    </row>
    <row r="11" spans="1:32" ht="90" customHeight="1" thickBot="1">
      <c r="A11" s="160"/>
      <c r="B11" s="319" t="s">
        <v>133</v>
      </c>
      <c r="C11" s="201" t="s">
        <v>70</v>
      </c>
      <c r="D11" s="206" t="s">
        <v>270</v>
      </c>
      <c r="E11" s="207" t="s">
        <v>747</v>
      </c>
      <c r="F11" s="208" t="s">
        <v>261</v>
      </c>
      <c r="G11" s="320" t="s">
        <v>748</v>
      </c>
      <c r="H11" s="320"/>
      <c r="I11" s="320" t="s">
        <v>169</v>
      </c>
      <c r="J11" s="321"/>
      <c r="K11" s="183" t="s">
        <v>824</v>
      </c>
      <c r="L11" s="182"/>
      <c r="M11" s="183"/>
      <c r="N11" s="180" t="s">
        <v>170</v>
      </c>
      <c r="O11" s="184"/>
      <c r="P11" s="326"/>
      <c r="Q11" s="326"/>
      <c r="R11" s="327"/>
      <c r="S11" s="329"/>
      <c r="T11" s="328"/>
      <c r="U11" s="326"/>
      <c r="V11" s="327"/>
      <c r="W11" s="324"/>
      <c r="X11" s="328"/>
      <c r="Y11" s="163"/>
      <c r="Z11" s="200" t="s">
        <v>115</v>
      </c>
      <c r="AA11" s="200" t="s">
        <v>146</v>
      </c>
      <c r="AB11" s="200" t="s">
        <v>116</v>
      </c>
      <c r="AC11" s="200" t="s">
        <v>215</v>
      </c>
      <c r="AD11" s="201" t="s">
        <v>433</v>
      </c>
      <c r="AE11" s="162" t="s">
        <v>568</v>
      </c>
      <c r="AF11" s="309" t="s">
        <v>557</v>
      </c>
    </row>
    <row r="12" spans="1:32" ht="90" customHeight="1" thickBot="1">
      <c r="A12" s="160"/>
      <c r="B12" s="319" t="s">
        <v>133</v>
      </c>
      <c r="C12" s="201" t="s">
        <v>71</v>
      </c>
      <c r="D12" s="206" t="s">
        <v>268</v>
      </c>
      <c r="E12" s="207" t="s">
        <v>271</v>
      </c>
      <c r="F12" s="208" t="s">
        <v>261</v>
      </c>
      <c r="G12" s="320" t="s">
        <v>786</v>
      </c>
      <c r="H12" s="320"/>
      <c r="I12" s="320" t="s">
        <v>169</v>
      </c>
      <c r="J12" s="321"/>
      <c r="K12" s="178" t="s">
        <v>825</v>
      </c>
      <c r="L12" s="178"/>
      <c r="M12" s="179"/>
      <c r="N12" s="180" t="s">
        <v>160</v>
      </c>
      <c r="O12" s="181"/>
      <c r="P12" s="322"/>
      <c r="Q12" s="322"/>
      <c r="R12" s="323"/>
      <c r="S12" s="324"/>
      <c r="T12" s="325"/>
      <c r="U12" s="322"/>
      <c r="V12" s="323"/>
      <c r="W12" s="324"/>
      <c r="X12" s="325"/>
      <c r="Y12" s="161"/>
      <c r="Z12" s="200" t="s">
        <v>115</v>
      </c>
      <c r="AA12" s="200" t="s">
        <v>146</v>
      </c>
      <c r="AB12" s="200" t="s">
        <v>116</v>
      </c>
      <c r="AC12" s="200" t="s">
        <v>215</v>
      </c>
      <c r="AD12" s="201" t="s">
        <v>434</v>
      </c>
      <c r="AE12" s="162" t="s">
        <v>569</v>
      </c>
      <c r="AF12" s="309" t="s">
        <v>557</v>
      </c>
    </row>
    <row r="13" spans="1:32" ht="90" customHeight="1" thickBot="1">
      <c r="A13" s="160"/>
      <c r="B13" s="319" t="s">
        <v>792</v>
      </c>
      <c r="C13" s="201" t="s">
        <v>72</v>
      </c>
      <c r="D13" s="206" t="s">
        <v>60</v>
      </c>
      <c r="E13" s="207" t="s">
        <v>61</v>
      </c>
      <c r="F13" s="208"/>
      <c r="G13" s="320" t="s">
        <v>717</v>
      </c>
      <c r="H13" s="320"/>
      <c r="I13" s="320" t="s">
        <v>169</v>
      </c>
      <c r="J13" s="321" t="s">
        <v>720</v>
      </c>
      <c r="K13" s="178" t="s">
        <v>856</v>
      </c>
      <c r="L13" s="384">
        <v>100</v>
      </c>
      <c r="M13" s="179"/>
      <c r="N13" s="180" t="s">
        <v>169</v>
      </c>
      <c r="O13" s="181" t="s">
        <v>859</v>
      </c>
      <c r="P13" s="322"/>
      <c r="Q13" s="322"/>
      <c r="R13" s="323"/>
      <c r="S13" s="324"/>
      <c r="T13" s="325"/>
      <c r="U13" s="322"/>
      <c r="V13" s="323"/>
      <c r="W13" s="324"/>
      <c r="X13" s="325"/>
      <c r="Y13" s="161"/>
      <c r="Z13" s="200" t="s">
        <v>113</v>
      </c>
      <c r="AA13" s="200" t="s">
        <v>111</v>
      </c>
      <c r="AB13" s="200" t="s">
        <v>116</v>
      </c>
      <c r="AC13" s="200" t="s">
        <v>181</v>
      </c>
      <c r="AD13" s="201" t="s">
        <v>435</v>
      </c>
      <c r="AE13" s="162" t="s">
        <v>570</v>
      </c>
      <c r="AF13" s="309" t="s">
        <v>557</v>
      </c>
    </row>
    <row r="14" spans="1:32" ht="90" customHeight="1" thickBot="1">
      <c r="A14" s="160"/>
      <c r="B14" s="319" t="s">
        <v>792</v>
      </c>
      <c r="C14" s="201" t="s">
        <v>73</v>
      </c>
      <c r="D14" s="206" t="s">
        <v>63</v>
      </c>
      <c r="E14" s="207" t="s">
        <v>61</v>
      </c>
      <c r="F14" s="208"/>
      <c r="G14" s="320" t="s">
        <v>718</v>
      </c>
      <c r="H14" s="320"/>
      <c r="I14" s="320" t="s">
        <v>169</v>
      </c>
      <c r="J14" s="321" t="s">
        <v>720</v>
      </c>
      <c r="K14" s="178" t="s">
        <v>857</v>
      </c>
      <c r="L14" s="384" t="s">
        <v>876</v>
      </c>
      <c r="M14" s="179"/>
      <c r="N14" s="180" t="s">
        <v>169</v>
      </c>
      <c r="O14" s="181" t="s">
        <v>859</v>
      </c>
      <c r="P14" s="322"/>
      <c r="Q14" s="322"/>
      <c r="R14" s="323"/>
      <c r="S14" s="324"/>
      <c r="T14" s="325"/>
      <c r="U14" s="322"/>
      <c r="V14" s="323"/>
      <c r="W14" s="324"/>
      <c r="X14" s="325"/>
      <c r="Y14" s="161"/>
      <c r="Z14" s="200" t="s">
        <v>113</v>
      </c>
      <c r="AA14" s="200" t="s">
        <v>111</v>
      </c>
      <c r="AB14" s="200" t="s">
        <v>116</v>
      </c>
      <c r="AC14" s="200" t="s">
        <v>181</v>
      </c>
      <c r="AD14" s="201" t="s">
        <v>436</v>
      </c>
      <c r="AE14" s="162" t="s">
        <v>571</v>
      </c>
      <c r="AF14" s="309" t="s">
        <v>557</v>
      </c>
    </row>
    <row r="15" spans="1:32" ht="90" customHeight="1" thickBot="1">
      <c r="A15" s="160"/>
      <c r="B15" s="319" t="s">
        <v>792</v>
      </c>
      <c r="C15" s="201" t="s">
        <v>74</v>
      </c>
      <c r="D15" s="206" t="s">
        <v>65</v>
      </c>
      <c r="E15" s="207" t="s">
        <v>61</v>
      </c>
      <c r="F15" s="208"/>
      <c r="G15" s="335" t="s">
        <v>719</v>
      </c>
      <c r="H15" s="335"/>
      <c r="I15" s="335" t="s">
        <v>169</v>
      </c>
      <c r="J15" s="336" t="s">
        <v>720</v>
      </c>
      <c r="K15" s="185" t="s">
        <v>858</v>
      </c>
      <c r="L15" s="384" t="s">
        <v>877</v>
      </c>
      <c r="M15" s="186"/>
      <c r="N15" s="180" t="s">
        <v>169</v>
      </c>
      <c r="O15" s="187" t="s">
        <v>859</v>
      </c>
      <c r="P15" s="337"/>
      <c r="Q15" s="337"/>
      <c r="R15" s="338"/>
      <c r="S15" s="340"/>
      <c r="T15" s="339"/>
      <c r="U15" s="337"/>
      <c r="V15" s="338"/>
      <c r="W15" s="324"/>
      <c r="X15" s="339"/>
      <c r="Y15" s="164"/>
      <c r="Z15" s="200" t="s">
        <v>113</v>
      </c>
      <c r="AA15" s="200" t="s">
        <v>111</v>
      </c>
      <c r="AB15" s="200" t="s">
        <v>116</v>
      </c>
      <c r="AC15" s="200" t="s">
        <v>181</v>
      </c>
      <c r="AD15" s="201" t="s">
        <v>437</v>
      </c>
      <c r="AE15" s="162" t="s">
        <v>572</v>
      </c>
      <c r="AF15" s="309" t="s">
        <v>557</v>
      </c>
    </row>
    <row r="16" spans="1:32" ht="90" customHeight="1" thickBot="1">
      <c r="A16" s="160"/>
      <c r="B16" s="319" t="s">
        <v>792</v>
      </c>
      <c r="C16" s="201" t="s">
        <v>75</v>
      </c>
      <c r="D16" s="206" t="s">
        <v>272</v>
      </c>
      <c r="E16" s="207" t="s">
        <v>273</v>
      </c>
      <c r="F16" s="313" t="s">
        <v>274</v>
      </c>
      <c r="G16" s="335" t="s">
        <v>749</v>
      </c>
      <c r="H16" s="335"/>
      <c r="I16" s="320" t="s">
        <v>167</v>
      </c>
      <c r="J16" s="336"/>
      <c r="K16" s="316" t="s">
        <v>790</v>
      </c>
      <c r="L16" s="194" t="s">
        <v>789</v>
      </c>
      <c r="M16" s="194" t="s">
        <v>789</v>
      </c>
      <c r="N16" s="180" t="s">
        <v>167</v>
      </c>
      <c r="O16" s="187"/>
      <c r="P16" s="337"/>
      <c r="Q16" s="337"/>
      <c r="R16" s="338"/>
      <c r="S16" s="340"/>
      <c r="T16" s="339"/>
      <c r="U16" s="337"/>
      <c r="V16" s="338"/>
      <c r="W16" s="324"/>
      <c r="X16" s="339"/>
      <c r="Y16" s="164"/>
      <c r="Z16" s="200" t="s">
        <v>113</v>
      </c>
      <c r="AA16" s="200" t="s">
        <v>111</v>
      </c>
      <c r="AB16" s="200" t="s">
        <v>116</v>
      </c>
      <c r="AC16" s="200" t="s">
        <v>181</v>
      </c>
      <c r="AD16" s="201" t="s">
        <v>438</v>
      </c>
      <c r="AE16" s="162" t="s">
        <v>573</v>
      </c>
      <c r="AF16" s="309" t="s">
        <v>557</v>
      </c>
    </row>
    <row r="17" spans="1:32" ht="90" customHeight="1" thickBot="1">
      <c r="A17" s="160"/>
      <c r="B17" s="319" t="s">
        <v>792</v>
      </c>
      <c r="C17" s="201" t="s">
        <v>76</v>
      </c>
      <c r="D17" s="206" t="s">
        <v>275</v>
      </c>
      <c r="E17" s="207" t="s">
        <v>276</v>
      </c>
      <c r="F17" s="208" t="s">
        <v>277</v>
      </c>
      <c r="G17" s="320" t="s">
        <v>678</v>
      </c>
      <c r="H17" s="320"/>
      <c r="I17" s="320" t="s">
        <v>169</v>
      </c>
      <c r="J17" s="321"/>
      <c r="K17" s="179" t="s">
        <v>849</v>
      </c>
      <c r="L17" s="178"/>
      <c r="M17" s="179"/>
      <c r="N17" s="180" t="s">
        <v>169</v>
      </c>
      <c r="O17" s="181"/>
      <c r="P17" s="322"/>
      <c r="Q17" s="322"/>
      <c r="R17" s="323"/>
      <c r="S17" s="324"/>
      <c r="T17" s="325"/>
      <c r="U17" s="322"/>
      <c r="V17" s="323"/>
      <c r="W17" s="324"/>
      <c r="X17" s="325"/>
      <c r="Y17" s="165"/>
      <c r="Z17" s="200" t="s">
        <v>113</v>
      </c>
      <c r="AA17" s="200" t="s">
        <v>111</v>
      </c>
      <c r="AB17" s="200" t="s">
        <v>116</v>
      </c>
      <c r="AC17" s="200" t="s">
        <v>181</v>
      </c>
      <c r="AD17" s="201" t="s">
        <v>439</v>
      </c>
      <c r="AE17" s="162" t="s">
        <v>574</v>
      </c>
      <c r="AF17" s="309" t="s">
        <v>557</v>
      </c>
    </row>
    <row r="18" spans="1:32" ht="90" customHeight="1" thickBot="1">
      <c r="A18" s="160"/>
      <c r="B18" s="319" t="s">
        <v>792</v>
      </c>
      <c r="C18" s="201" t="s">
        <v>78</v>
      </c>
      <c r="D18" s="206" t="s">
        <v>275</v>
      </c>
      <c r="E18" s="207" t="s">
        <v>278</v>
      </c>
      <c r="F18" s="208" t="s">
        <v>261</v>
      </c>
      <c r="G18" s="320" t="s">
        <v>678</v>
      </c>
      <c r="H18" s="320"/>
      <c r="I18" s="320" t="s">
        <v>169</v>
      </c>
      <c r="J18" s="321"/>
      <c r="K18" s="179" t="s">
        <v>850</v>
      </c>
      <c r="L18" s="178"/>
      <c r="M18" s="179"/>
      <c r="N18" s="180" t="s">
        <v>169</v>
      </c>
      <c r="O18" s="181"/>
      <c r="P18" s="322"/>
      <c r="Q18" s="322"/>
      <c r="R18" s="323"/>
      <c r="S18" s="324"/>
      <c r="T18" s="325"/>
      <c r="U18" s="322"/>
      <c r="V18" s="323"/>
      <c r="W18" s="324"/>
      <c r="X18" s="325"/>
      <c r="Y18" s="165"/>
      <c r="Z18" s="200" t="s">
        <v>113</v>
      </c>
      <c r="AA18" s="200" t="s">
        <v>111</v>
      </c>
      <c r="AB18" s="200" t="s">
        <v>116</v>
      </c>
      <c r="AC18" s="200" t="s">
        <v>181</v>
      </c>
      <c r="AD18" s="201" t="s">
        <v>440</v>
      </c>
      <c r="AE18" s="162" t="s">
        <v>575</v>
      </c>
      <c r="AF18" s="309" t="s">
        <v>557</v>
      </c>
    </row>
    <row r="19" spans="1:32" ht="90" customHeight="1" thickBot="1">
      <c r="A19" s="160"/>
      <c r="B19" s="319" t="s">
        <v>792</v>
      </c>
      <c r="C19" s="201" t="s">
        <v>79</v>
      </c>
      <c r="D19" s="206" t="s">
        <v>275</v>
      </c>
      <c r="E19" s="207" t="s">
        <v>279</v>
      </c>
      <c r="F19" s="208" t="s">
        <v>277</v>
      </c>
      <c r="G19" s="335" t="s">
        <v>679</v>
      </c>
      <c r="H19" s="335"/>
      <c r="I19" s="335" t="s">
        <v>169</v>
      </c>
      <c r="J19" s="336"/>
      <c r="K19" s="179" t="s">
        <v>851</v>
      </c>
      <c r="L19" s="185"/>
      <c r="M19" s="186"/>
      <c r="N19" s="180" t="s">
        <v>169</v>
      </c>
      <c r="O19" s="187"/>
      <c r="P19" s="338"/>
      <c r="Q19" s="337"/>
      <c r="R19" s="338"/>
      <c r="S19" s="340"/>
      <c r="T19" s="339"/>
      <c r="U19" s="338"/>
      <c r="V19" s="338"/>
      <c r="W19" s="324"/>
      <c r="X19" s="339"/>
      <c r="Y19" s="164"/>
      <c r="Z19" s="200" t="s">
        <v>113</v>
      </c>
      <c r="AA19" s="200" t="s">
        <v>111</v>
      </c>
      <c r="AB19" s="200" t="s">
        <v>116</v>
      </c>
      <c r="AC19" s="200" t="s">
        <v>181</v>
      </c>
      <c r="AD19" s="201" t="s">
        <v>441</v>
      </c>
      <c r="AE19" s="162" t="s">
        <v>576</v>
      </c>
      <c r="AF19" s="310"/>
    </row>
    <row r="20" spans="1:32" ht="90" customHeight="1" thickBot="1">
      <c r="A20" s="160"/>
      <c r="B20" s="319" t="s">
        <v>792</v>
      </c>
      <c r="C20" s="201" t="s">
        <v>80</v>
      </c>
      <c r="D20" s="206" t="s">
        <v>275</v>
      </c>
      <c r="E20" s="207" t="s">
        <v>280</v>
      </c>
      <c r="F20" s="208" t="s">
        <v>277</v>
      </c>
      <c r="G20" s="320" t="s">
        <v>678</v>
      </c>
      <c r="H20" s="320"/>
      <c r="I20" s="320" t="s">
        <v>169</v>
      </c>
      <c r="J20" s="321"/>
      <c r="K20" s="179" t="s">
        <v>849</v>
      </c>
      <c r="L20" s="178"/>
      <c r="M20" s="179"/>
      <c r="N20" s="180" t="s">
        <v>169</v>
      </c>
      <c r="O20" s="181"/>
      <c r="P20" s="322"/>
      <c r="Q20" s="322"/>
      <c r="R20" s="323"/>
      <c r="S20" s="324"/>
      <c r="T20" s="325"/>
      <c r="U20" s="322"/>
      <c r="V20" s="323"/>
      <c r="W20" s="324"/>
      <c r="X20" s="325"/>
      <c r="Y20" s="161"/>
      <c r="Z20" s="200" t="s">
        <v>113</v>
      </c>
      <c r="AA20" s="200" t="s">
        <v>111</v>
      </c>
      <c r="AB20" s="200" t="s">
        <v>116</v>
      </c>
      <c r="AC20" s="200" t="s">
        <v>181</v>
      </c>
      <c r="AD20" s="201" t="s">
        <v>442</v>
      </c>
      <c r="AE20" s="162" t="s">
        <v>577</v>
      </c>
      <c r="AF20" s="309" t="s">
        <v>557</v>
      </c>
    </row>
    <row r="21" spans="1:32" ht="170.25" customHeight="1" thickBot="1">
      <c r="A21" s="160"/>
      <c r="B21" s="319" t="s">
        <v>254</v>
      </c>
      <c r="C21" s="201" t="s">
        <v>81</v>
      </c>
      <c r="D21" s="206" t="s">
        <v>281</v>
      </c>
      <c r="E21" s="207" t="s">
        <v>282</v>
      </c>
      <c r="F21" s="208" t="s">
        <v>277</v>
      </c>
      <c r="G21" s="320" t="s">
        <v>676</v>
      </c>
      <c r="H21" s="320"/>
      <c r="I21" s="320" t="s">
        <v>169</v>
      </c>
      <c r="J21" s="321"/>
      <c r="K21" s="179" t="s">
        <v>798</v>
      </c>
      <c r="L21" s="178"/>
      <c r="M21" s="179"/>
      <c r="N21" s="180" t="s">
        <v>169</v>
      </c>
      <c r="O21" s="181"/>
      <c r="P21" s="322"/>
      <c r="Q21" s="322"/>
      <c r="R21" s="323"/>
      <c r="S21" s="324"/>
      <c r="T21" s="325"/>
      <c r="U21" s="322"/>
      <c r="V21" s="323"/>
      <c r="W21" s="324"/>
      <c r="X21" s="325"/>
      <c r="Y21" s="163"/>
      <c r="Z21" s="200" t="s">
        <v>114</v>
      </c>
      <c r="AA21" s="200" t="s">
        <v>144</v>
      </c>
      <c r="AB21" s="200" t="s">
        <v>116</v>
      </c>
      <c r="AC21" s="200" t="s">
        <v>181</v>
      </c>
      <c r="AD21" s="201" t="s">
        <v>443</v>
      </c>
      <c r="AE21" s="162" t="s">
        <v>578</v>
      </c>
      <c r="AF21" s="310"/>
    </row>
    <row r="22" spans="1:32" ht="159.75" customHeight="1" thickBot="1">
      <c r="A22" s="160"/>
      <c r="B22" s="319" t="s">
        <v>145</v>
      </c>
      <c r="C22" s="201" t="s">
        <v>283</v>
      </c>
      <c r="D22" s="206" t="s">
        <v>284</v>
      </c>
      <c r="E22" s="207" t="s">
        <v>285</v>
      </c>
      <c r="F22" s="208" t="s">
        <v>261</v>
      </c>
      <c r="G22" s="320" t="s">
        <v>699</v>
      </c>
      <c r="H22" s="320"/>
      <c r="I22" s="320" t="s">
        <v>169</v>
      </c>
      <c r="J22" s="321"/>
      <c r="K22" s="182" t="s">
        <v>875</v>
      </c>
      <c r="L22" s="182"/>
      <c r="M22" s="183"/>
      <c r="N22" s="180" t="s">
        <v>169</v>
      </c>
      <c r="O22" s="184"/>
      <c r="P22" s="328"/>
      <c r="Q22" s="326"/>
      <c r="R22" s="327"/>
      <c r="S22" s="329"/>
      <c r="T22" s="328"/>
      <c r="U22" s="326"/>
      <c r="V22" s="327"/>
      <c r="W22" s="324"/>
      <c r="X22" s="328"/>
      <c r="Y22" s="163"/>
      <c r="Z22" s="200" t="s">
        <v>114</v>
      </c>
      <c r="AA22" s="200" t="s">
        <v>144</v>
      </c>
      <c r="AB22" s="200" t="s">
        <v>116</v>
      </c>
      <c r="AC22" s="200" t="s">
        <v>181</v>
      </c>
      <c r="AD22" s="201" t="s">
        <v>444</v>
      </c>
      <c r="AE22" s="162" t="s">
        <v>579</v>
      </c>
      <c r="AF22" s="309" t="s">
        <v>557</v>
      </c>
    </row>
    <row r="23" spans="1:32" ht="90" customHeight="1" thickBot="1">
      <c r="A23" s="160"/>
      <c r="B23" s="319" t="s">
        <v>145</v>
      </c>
      <c r="C23" s="201" t="s">
        <v>286</v>
      </c>
      <c r="D23" s="206" t="s">
        <v>287</v>
      </c>
      <c r="E23" s="207" t="s">
        <v>288</v>
      </c>
      <c r="F23" s="208" t="s">
        <v>261</v>
      </c>
      <c r="G23" s="330" t="s">
        <v>700</v>
      </c>
      <c r="H23" s="320"/>
      <c r="I23" s="320" t="s">
        <v>169</v>
      </c>
      <c r="J23" s="321"/>
      <c r="K23" s="381" t="s">
        <v>700</v>
      </c>
      <c r="L23" s="182"/>
      <c r="M23" s="183"/>
      <c r="N23" s="180" t="s">
        <v>169</v>
      </c>
      <c r="O23" s="184"/>
      <c r="P23" s="326"/>
      <c r="Q23" s="326"/>
      <c r="R23" s="327"/>
      <c r="S23" s="324"/>
      <c r="T23" s="328"/>
      <c r="U23" s="326"/>
      <c r="V23" s="327"/>
      <c r="W23" s="324"/>
      <c r="X23" s="328"/>
      <c r="Y23" s="163"/>
      <c r="Z23" s="200" t="s">
        <v>114</v>
      </c>
      <c r="AA23" s="200" t="s">
        <v>144</v>
      </c>
      <c r="AB23" s="200" t="s">
        <v>116</v>
      </c>
      <c r="AC23" s="200" t="s">
        <v>181</v>
      </c>
      <c r="AD23" s="201" t="s">
        <v>445</v>
      </c>
      <c r="AE23" s="162" t="s">
        <v>580</v>
      </c>
      <c r="AF23" s="309" t="s">
        <v>557</v>
      </c>
    </row>
    <row r="24" spans="1:32" ht="90" customHeight="1" thickBot="1">
      <c r="A24" s="160"/>
      <c r="B24" s="319" t="s">
        <v>145</v>
      </c>
      <c r="C24" s="201" t="s">
        <v>289</v>
      </c>
      <c r="D24" s="206" t="s">
        <v>290</v>
      </c>
      <c r="E24" s="207" t="s">
        <v>291</v>
      </c>
      <c r="F24" s="208" t="s">
        <v>277</v>
      </c>
      <c r="G24" s="330"/>
      <c r="H24" s="320"/>
      <c r="I24" s="320" t="s">
        <v>173</v>
      </c>
      <c r="J24" s="331"/>
      <c r="K24" s="182" t="s">
        <v>842</v>
      </c>
      <c r="L24" s="182"/>
      <c r="M24" s="183"/>
      <c r="N24" s="180" t="s">
        <v>169</v>
      </c>
      <c r="O24" s="184"/>
      <c r="P24" s="326"/>
      <c r="Q24" s="326"/>
      <c r="R24" s="327"/>
      <c r="S24" s="324"/>
      <c r="T24" s="328"/>
      <c r="U24" s="326"/>
      <c r="V24" s="327"/>
      <c r="W24" s="324"/>
      <c r="X24" s="328"/>
      <c r="Y24" s="163"/>
      <c r="Z24" s="200" t="s">
        <v>114</v>
      </c>
      <c r="AA24" s="200" t="s">
        <v>144</v>
      </c>
      <c r="AB24" s="200" t="s">
        <v>116</v>
      </c>
      <c r="AC24" s="200" t="s">
        <v>181</v>
      </c>
      <c r="AD24" s="201" t="s">
        <v>446</v>
      </c>
      <c r="AE24" s="162" t="s">
        <v>581</v>
      </c>
      <c r="AF24" s="310"/>
    </row>
    <row r="25" spans="1:32" ht="286.5" customHeight="1" thickBot="1">
      <c r="A25" s="160"/>
      <c r="B25" s="319" t="s">
        <v>254</v>
      </c>
      <c r="C25" s="201" t="s">
        <v>292</v>
      </c>
      <c r="D25" s="206" t="s">
        <v>293</v>
      </c>
      <c r="E25" s="207" t="s">
        <v>294</v>
      </c>
      <c r="F25" s="208" t="s">
        <v>267</v>
      </c>
      <c r="G25" s="330" t="s">
        <v>677</v>
      </c>
      <c r="H25" s="320"/>
      <c r="I25" s="320" t="s">
        <v>169</v>
      </c>
      <c r="J25" s="321"/>
      <c r="K25" s="182" t="s">
        <v>865</v>
      </c>
      <c r="L25" s="182"/>
      <c r="M25" s="183"/>
      <c r="N25" s="180" t="s">
        <v>169</v>
      </c>
      <c r="O25" s="184"/>
      <c r="P25" s="326"/>
      <c r="Q25" s="326"/>
      <c r="R25" s="327"/>
      <c r="S25" s="324"/>
      <c r="T25" s="328"/>
      <c r="U25" s="326"/>
      <c r="V25" s="327"/>
      <c r="W25" s="324"/>
      <c r="X25" s="328"/>
      <c r="Y25" s="161"/>
      <c r="Z25" s="200" t="s">
        <v>114</v>
      </c>
      <c r="AA25" s="200" t="s">
        <v>144</v>
      </c>
      <c r="AB25" s="200" t="s">
        <v>116</v>
      </c>
      <c r="AC25" s="200" t="s">
        <v>181</v>
      </c>
      <c r="AD25" s="201" t="s">
        <v>447</v>
      </c>
      <c r="AE25" s="162" t="s">
        <v>582</v>
      </c>
      <c r="AF25" s="309" t="s">
        <v>557</v>
      </c>
    </row>
    <row r="26" spans="1:32" ht="122.25" customHeight="1" thickBot="1">
      <c r="A26" s="160"/>
      <c r="B26" s="319" t="s">
        <v>145</v>
      </c>
      <c r="C26" s="201" t="s">
        <v>295</v>
      </c>
      <c r="D26" s="206" t="s">
        <v>77</v>
      </c>
      <c r="E26" s="207" t="s">
        <v>296</v>
      </c>
      <c r="F26" s="208" t="s">
        <v>261</v>
      </c>
      <c r="G26" s="320" t="s">
        <v>701</v>
      </c>
      <c r="H26" s="320"/>
      <c r="I26" s="320" t="s">
        <v>170</v>
      </c>
      <c r="J26" s="321"/>
      <c r="K26" s="182" t="s">
        <v>843</v>
      </c>
      <c r="L26" s="383" t="s">
        <v>864</v>
      </c>
      <c r="M26" s="183"/>
      <c r="N26" s="180" t="s">
        <v>169</v>
      </c>
      <c r="O26" s="184"/>
      <c r="P26" s="326"/>
      <c r="Q26" s="326"/>
      <c r="R26" s="327"/>
      <c r="S26" s="329"/>
      <c r="T26" s="328"/>
      <c r="U26" s="326"/>
      <c r="V26" s="327"/>
      <c r="W26" s="324"/>
      <c r="X26" s="328"/>
      <c r="Y26" s="163"/>
      <c r="Z26" s="200" t="s">
        <v>114</v>
      </c>
      <c r="AA26" s="200" t="s">
        <v>144</v>
      </c>
      <c r="AB26" s="200" t="s">
        <v>116</v>
      </c>
      <c r="AC26" s="200" t="s">
        <v>181</v>
      </c>
      <c r="AD26" s="201" t="s">
        <v>448</v>
      </c>
      <c r="AE26" s="162" t="s">
        <v>583</v>
      </c>
      <c r="AF26" s="309" t="s">
        <v>557</v>
      </c>
    </row>
    <row r="27" spans="1:32" ht="149.25" customHeight="1" thickBot="1">
      <c r="A27" s="160"/>
      <c r="B27" s="319" t="s">
        <v>145</v>
      </c>
      <c r="C27" s="201" t="s">
        <v>297</v>
      </c>
      <c r="D27" s="206" t="s">
        <v>298</v>
      </c>
      <c r="E27" s="207" t="s">
        <v>299</v>
      </c>
      <c r="F27" s="208" t="s">
        <v>261</v>
      </c>
      <c r="G27" s="320"/>
      <c r="H27" s="320"/>
      <c r="I27" s="320" t="s">
        <v>173</v>
      </c>
      <c r="J27" s="331"/>
      <c r="K27" s="182" t="s">
        <v>844</v>
      </c>
      <c r="L27" s="182"/>
      <c r="M27" s="183"/>
      <c r="N27" s="180" t="s">
        <v>169</v>
      </c>
      <c r="O27" s="184"/>
      <c r="P27" s="322"/>
      <c r="Q27" s="326"/>
      <c r="R27" s="327"/>
      <c r="S27" s="329"/>
      <c r="T27" s="328"/>
      <c r="U27" s="326"/>
      <c r="V27" s="327"/>
      <c r="W27" s="324"/>
      <c r="X27" s="328"/>
      <c r="Y27" s="163"/>
      <c r="Z27" s="200" t="s">
        <v>114</v>
      </c>
      <c r="AA27" s="200" t="s">
        <v>144</v>
      </c>
      <c r="AB27" s="200" t="s">
        <v>116</v>
      </c>
      <c r="AC27" s="200" t="s">
        <v>181</v>
      </c>
      <c r="AD27" s="201" t="s">
        <v>449</v>
      </c>
      <c r="AE27" s="162" t="s">
        <v>584</v>
      </c>
      <c r="AF27" s="309" t="s">
        <v>557</v>
      </c>
    </row>
    <row r="28" spans="1:32" ht="140.25" customHeight="1" thickBot="1">
      <c r="A28" s="160"/>
      <c r="B28" s="319" t="s">
        <v>145</v>
      </c>
      <c r="C28" s="201" t="s">
        <v>300</v>
      </c>
      <c r="D28" s="206" t="s">
        <v>298</v>
      </c>
      <c r="E28" s="207" t="s">
        <v>301</v>
      </c>
      <c r="F28" s="208" t="s">
        <v>261</v>
      </c>
      <c r="G28" s="320" t="s">
        <v>702</v>
      </c>
      <c r="H28" s="320"/>
      <c r="I28" s="320" t="s">
        <v>169</v>
      </c>
      <c r="J28" s="321"/>
      <c r="K28" s="382" t="s">
        <v>702</v>
      </c>
      <c r="L28" s="182"/>
      <c r="M28" s="183"/>
      <c r="N28" s="180" t="s">
        <v>169</v>
      </c>
      <c r="O28" s="184"/>
      <c r="P28" s="326"/>
      <c r="Q28" s="326"/>
      <c r="R28" s="327"/>
      <c r="S28" s="329"/>
      <c r="T28" s="328"/>
      <c r="U28" s="326"/>
      <c r="V28" s="327"/>
      <c r="W28" s="324"/>
      <c r="X28" s="328"/>
      <c r="Y28" s="161"/>
      <c r="Z28" s="200" t="s">
        <v>114</v>
      </c>
      <c r="AA28" s="200" t="s">
        <v>144</v>
      </c>
      <c r="AB28" s="200" t="s">
        <v>116</v>
      </c>
      <c r="AC28" s="200" t="s">
        <v>181</v>
      </c>
      <c r="AD28" s="201" t="s">
        <v>450</v>
      </c>
      <c r="AE28" s="162" t="s">
        <v>585</v>
      </c>
      <c r="AF28" s="309" t="s">
        <v>557</v>
      </c>
    </row>
    <row r="29" spans="1:32" ht="137.25" customHeight="1" thickBot="1">
      <c r="A29" s="160"/>
      <c r="B29" s="319" t="s">
        <v>145</v>
      </c>
      <c r="C29" s="201" t="s">
        <v>302</v>
      </c>
      <c r="D29" s="206" t="s">
        <v>303</v>
      </c>
      <c r="E29" s="207" t="s">
        <v>304</v>
      </c>
      <c r="F29" s="208" t="s">
        <v>261</v>
      </c>
      <c r="G29" s="320" t="s">
        <v>703</v>
      </c>
      <c r="H29" s="320"/>
      <c r="I29" s="320" t="s">
        <v>169</v>
      </c>
      <c r="J29" s="331" t="s">
        <v>730</v>
      </c>
      <c r="K29" s="382" t="s">
        <v>845</v>
      </c>
      <c r="L29" s="182"/>
      <c r="M29" s="183"/>
      <c r="N29" s="180" t="s">
        <v>169</v>
      </c>
      <c r="O29" s="184"/>
      <c r="P29" s="326"/>
      <c r="Q29" s="326"/>
      <c r="R29" s="327"/>
      <c r="S29" s="329"/>
      <c r="T29" s="328"/>
      <c r="U29" s="326"/>
      <c r="V29" s="327"/>
      <c r="W29" s="324"/>
      <c r="X29" s="328"/>
      <c r="Y29" s="163"/>
      <c r="Z29" s="200" t="s">
        <v>114</v>
      </c>
      <c r="AA29" s="200" t="s">
        <v>144</v>
      </c>
      <c r="AB29" s="200" t="s">
        <v>116</v>
      </c>
      <c r="AC29" s="200" t="s">
        <v>181</v>
      </c>
      <c r="AD29" s="201" t="s">
        <v>451</v>
      </c>
      <c r="AE29" s="162" t="s">
        <v>586</v>
      </c>
      <c r="AF29" s="309" t="s">
        <v>557</v>
      </c>
    </row>
    <row r="30" spans="1:32" ht="122.25" customHeight="1" thickBot="1">
      <c r="A30" s="160"/>
      <c r="B30" s="319" t="s">
        <v>148</v>
      </c>
      <c r="C30" s="201" t="s">
        <v>82</v>
      </c>
      <c r="D30" s="206" t="s">
        <v>93</v>
      </c>
      <c r="E30" s="207" t="s">
        <v>305</v>
      </c>
      <c r="F30" s="208" t="s">
        <v>306</v>
      </c>
      <c r="G30" s="320" t="s">
        <v>731</v>
      </c>
      <c r="H30" s="320"/>
      <c r="I30" s="320" t="s">
        <v>169</v>
      </c>
      <c r="J30" s="321"/>
      <c r="K30" s="178" t="s">
        <v>866</v>
      </c>
      <c r="L30" s="178"/>
      <c r="M30" s="179"/>
      <c r="N30" s="180" t="s">
        <v>169</v>
      </c>
      <c r="O30" s="181"/>
      <c r="P30" s="322"/>
      <c r="Q30" s="322"/>
      <c r="R30" s="323"/>
      <c r="S30" s="324"/>
      <c r="T30" s="325"/>
      <c r="U30" s="322"/>
      <c r="V30" s="323"/>
      <c r="W30" s="324"/>
      <c r="X30" s="325"/>
      <c r="Y30" s="163"/>
      <c r="Z30" s="200" t="s">
        <v>113</v>
      </c>
      <c r="AA30" s="200" t="s">
        <v>147</v>
      </c>
      <c r="AB30" s="200" t="s">
        <v>559</v>
      </c>
      <c r="AC30" s="200" t="s">
        <v>183</v>
      </c>
      <c r="AD30" s="201" t="s">
        <v>452</v>
      </c>
      <c r="AE30" s="162" t="s">
        <v>587</v>
      </c>
      <c r="AF30" s="310"/>
    </row>
    <row r="31" spans="1:32" ht="163.5" customHeight="1" thickBot="1">
      <c r="A31" s="160"/>
      <c r="B31" s="319" t="s">
        <v>148</v>
      </c>
      <c r="C31" s="201" t="s">
        <v>83</v>
      </c>
      <c r="D31" s="206" t="s">
        <v>93</v>
      </c>
      <c r="E31" s="207" t="s">
        <v>307</v>
      </c>
      <c r="F31" s="208" t="s">
        <v>308</v>
      </c>
      <c r="G31" s="320" t="s">
        <v>727</v>
      </c>
      <c r="H31" s="320"/>
      <c r="I31" s="320" t="s">
        <v>169</v>
      </c>
      <c r="J31" s="321"/>
      <c r="K31" s="178" t="s">
        <v>812</v>
      </c>
      <c r="L31" s="178"/>
      <c r="M31" s="179"/>
      <c r="N31" s="180" t="s">
        <v>169</v>
      </c>
      <c r="O31" s="181"/>
      <c r="P31" s="322"/>
      <c r="Q31" s="322"/>
      <c r="R31" s="323"/>
      <c r="S31" s="324"/>
      <c r="T31" s="325"/>
      <c r="U31" s="322"/>
      <c r="V31" s="323"/>
      <c r="W31" s="324"/>
      <c r="X31" s="325"/>
      <c r="Y31" s="163"/>
      <c r="Z31" s="200" t="s">
        <v>113</v>
      </c>
      <c r="AA31" s="200" t="s">
        <v>147</v>
      </c>
      <c r="AB31" s="200" t="s">
        <v>559</v>
      </c>
      <c r="AC31" s="200" t="s">
        <v>183</v>
      </c>
      <c r="AD31" s="201" t="s">
        <v>453</v>
      </c>
      <c r="AE31" s="162" t="s">
        <v>588</v>
      </c>
      <c r="AF31" s="310"/>
    </row>
    <row r="32" spans="1:32" ht="117" customHeight="1" thickBot="1">
      <c r="A32" s="160"/>
      <c r="B32" s="319" t="s">
        <v>148</v>
      </c>
      <c r="C32" s="201" t="s">
        <v>84</v>
      </c>
      <c r="D32" s="206" t="s">
        <v>309</v>
      </c>
      <c r="E32" s="207" t="s">
        <v>310</v>
      </c>
      <c r="F32" s="208" t="s">
        <v>261</v>
      </c>
      <c r="G32" s="320" t="s">
        <v>723</v>
      </c>
      <c r="H32" s="320"/>
      <c r="I32" s="320" t="s">
        <v>169</v>
      </c>
      <c r="J32" s="321"/>
      <c r="K32" s="178" t="s">
        <v>814</v>
      </c>
      <c r="L32" s="178"/>
      <c r="M32" s="179"/>
      <c r="N32" s="180" t="s">
        <v>169</v>
      </c>
      <c r="O32" s="181"/>
      <c r="P32" s="322"/>
      <c r="Q32" s="322"/>
      <c r="R32" s="323"/>
      <c r="S32" s="324"/>
      <c r="T32" s="325"/>
      <c r="U32" s="322"/>
      <c r="V32" s="323"/>
      <c r="W32" s="324"/>
      <c r="X32" s="325"/>
      <c r="Y32" s="161"/>
      <c r="Z32" s="200" t="s">
        <v>113</v>
      </c>
      <c r="AA32" s="200" t="s">
        <v>147</v>
      </c>
      <c r="AB32" s="200" t="s">
        <v>559</v>
      </c>
      <c r="AC32" s="200" t="s">
        <v>183</v>
      </c>
      <c r="AD32" s="201" t="s">
        <v>454</v>
      </c>
      <c r="AE32" s="162" t="s">
        <v>589</v>
      </c>
      <c r="AF32" s="310"/>
    </row>
    <row r="33" spans="1:32" ht="90" customHeight="1" thickBot="1">
      <c r="A33" s="160"/>
      <c r="B33" s="319" t="s">
        <v>148</v>
      </c>
      <c r="C33" s="201" t="s">
        <v>85</v>
      </c>
      <c r="D33" s="206" t="s">
        <v>93</v>
      </c>
      <c r="E33" s="207" t="s">
        <v>311</v>
      </c>
      <c r="F33" s="208"/>
      <c r="G33" s="320" t="s">
        <v>724</v>
      </c>
      <c r="H33" s="320" t="s">
        <v>725</v>
      </c>
      <c r="I33" s="320" t="s">
        <v>169</v>
      </c>
      <c r="J33" s="321"/>
      <c r="K33" s="182" t="s">
        <v>831</v>
      </c>
      <c r="L33" s="182" t="s">
        <v>832</v>
      </c>
      <c r="M33" s="183" t="s">
        <v>833</v>
      </c>
      <c r="N33" s="180" t="s">
        <v>169</v>
      </c>
      <c r="O33" s="184"/>
      <c r="P33" s="326"/>
      <c r="Q33" s="326"/>
      <c r="R33" s="327"/>
      <c r="S33" s="329"/>
      <c r="T33" s="328"/>
      <c r="U33" s="326"/>
      <c r="V33" s="327"/>
      <c r="W33" s="324"/>
      <c r="X33" s="328"/>
      <c r="Y33" s="163"/>
      <c r="Z33" s="200" t="s">
        <v>113</v>
      </c>
      <c r="AA33" s="200" t="s">
        <v>147</v>
      </c>
      <c r="AB33" s="200" t="s">
        <v>559</v>
      </c>
      <c r="AC33" s="200" t="s">
        <v>183</v>
      </c>
      <c r="AD33" s="201" t="s">
        <v>455</v>
      </c>
      <c r="AE33" s="162" t="s">
        <v>590</v>
      </c>
      <c r="AF33" s="309" t="s">
        <v>557</v>
      </c>
    </row>
    <row r="34" spans="1:32" ht="124.5" customHeight="1" thickBot="1">
      <c r="A34" s="160"/>
      <c r="B34" s="319" t="s">
        <v>148</v>
      </c>
      <c r="C34" s="201" t="s">
        <v>87</v>
      </c>
      <c r="D34" s="206" t="s">
        <v>95</v>
      </c>
      <c r="E34" s="207" t="s">
        <v>96</v>
      </c>
      <c r="F34" s="208"/>
      <c r="G34" s="320" t="s">
        <v>728</v>
      </c>
      <c r="H34" s="320" t="s">
        <v>708</v>
      </c>
      <c r="I34" s="320" t="s">
        <v>169</v>
      </c>
      <c r="J34" s="321"/>
      <c r="K34" s="178" t="s">
        <v>829</v>
      </c>
      <c r="L34" s="178" t="s">
        <v>830</v>
      </c>
      <c r="M34" s="179" t="s">
        <v>708</v>
      </c>
      <c r="N34" s="180" t="s">
        <v>169</v>
      </c>
      <c r="O34" s="181"/>
      <c r="P34" s="322"/>
      <c r="Q34" s="322"/>
      <c r="R34" s="323"/>
      <c r="S34" s="324"/>
      <c r="T34" s="325"/>
      <c r="U34" s="322"/>
      <c r="V34" s="323"/>
      <c r="W34" s="324"/>
      <c r="X34" s="325"/>
      <c r="Y34" s="163"/>
      <c r="Z34" s="200" t="s">
        <v>113</v>
      </c>
      <c r="AA34" s="200" t="s">
        <v>147</v>
      </c>
      <c r="AB34" s="200" t="s">
        <v>559</v>
      </c>
      <c r="AC34" s="200" t="s">
        <v>183</v>
      </c>
      <c r="AD34" s="201" t="s">
        <v>456</v>
      </c>
      <c r="AE34" s="162" t="s">
        <v>591</v>
      </c>
      <c r="AF34" s="310"/>
    </row>
    <row r="35" spans="1:32" ht="90" customHeight="1" thickBot="1">
      <c r="A35" s="160"/>
      <c r="B35" s="319" t="s">
        <v>148</v>
      </c>
      <c r="C35" s="201" t="s">
        <v>88</v>
      </c>
      <c r="D35" s="206" t="s">
        <v>312</v>
      </c>
      <c r="E35" s="207" t="s">
        <v>313</v>
      </c>
      <c r="F35" s="208" t="s">
        <v>267</v>
      </c>
      <c r="G35" s="330" t="s">
        <v>726</v>
      </c>
      <c r="H35" s="320"/>
      <c r="I35" s="320" t="s">
        <v>169</v>
      </c>
      <c r="J35" s="321"/>
      <c r="K35" s="178" t="s">
        <v>813</v>
      </c>
      <c r="L35" s="178"/>
      <c r="M35" s="179"/>
      <c r="N35" s="180" t="s">
        <v>169</v>
      </c>
      <c r="O35" s="203"/>
      <c r="P35" s="322"/>
      <c r="Q35" s="322"/>
      <c r="R35" s="323"/>
      <c r="S35" s="324"/>
      <c r="T35" s="325"/>
      <c r="U35" s="322"/>
      <c r="V35" s="323"/>
      <c r="W35" s="324"/>
      <c r="X35" s="325"/>
      <c r="Y35" s="163"/>
      <c r="Z35" s="200" t="s">
        <v>113</v>
      </c>
      <c r="AA35" s="200" t="s">
        <v>147</v>
      </c>
      <c r="AB35" s="200" t="s">
        <v>559</v>
      </c>
      <c r="AC35" s="200" t="s">
        <v>183</v>
      </c>
      <c r="AD35" s="201" t="s">
        <v>457</v>
      </c>
      <c r="AE35" s="162" t="s">
        <v>592</v>
      </c>
      <c r="AF35" s="310"/>
    </row>
    <row r="36" spans="1:32" ht="135" customHeight="1" thickBot="1">
      <c r="A36" s="160"/>
      <c r="B36" s="319" t="s">
        <v>148</v>
      </c>
      <c r="C36" s="201" t="s">
        <v>89</v>
      </c>
      <c r="D36" s="206" t="s">
        <v>314</v>
      </c>
      <c r="E36" s="207" t="s">
        <v>315</v>
      </c>
      <c r="F36" s="208" t="s">
        <v>267</v>
      </c>
      <c r="G36" s="335" t="s">
        <v>737</v>
      </c>
      <c r="H36" s="335"/>
      <c r="I36" s="335" t="s">
        <v>169</v>
      </c>
      <c r="J36" s="336"/>
      <c r="K36" s="185" t="s">
        <v>867</v>
      </c>
      <c r="L36" s="185"/>
      <c r="M36" s="186"/>
      <c r="N36" s="180" t="s">
        <v>169</v>
      </c>
      <c r="O36" s="187"/>
      <c r="P36" s="337"/>
      <c r="Q36" s="337"/>
      <c r="R36" s="338"/>
      <c r="S36" s="340"/>
      <c r="T36" s="339"/>
      <c r="U36" s="337"/>
      <c r="V36" s="338"/>
      <c r="W36" s="324"/>
      <c r="X36" s="339"/>
      <c r="Y36" s="164"/>
      <c r="Z36" s="200" t="s">
        <v>113</v>
      </c>
      <c r="AA36" s="200" t="s">
        <v>147</v>
      </c>
      <c r="AB36" s="200" t="s">
        <v>559</v>
      </c>
      <c r="AC36" s="200" t="s">
        <v>183</v>
      </c>
      <c r="AD36" s="201" t="s">
        <v>458</v>
      </c>
      <c r="AE36" s="162" t="s">
        <v>593</v>
      </c>
      <c r="AF36" s="309" t="s">
        <v>557</v>
      </c>
    </row>
    <row r="37" spans="1:32" ht="90" customHeight="1" thickBot="1">
      <c r="A37" s="160"/>
      <c r="B37" s="319" t="s">
        <v>135</v>
      </c>
      <c r="C37" s="201" t="s">
        <v>90</v>
      </c>
      <c r="D37" s="206" t="s">
        <v>316</v>
      </c>
      <c r="E37" s="207" t="s">
        <v>86</v>
      </c>
      <c r="F37" s="208"/>
      <c r="G37" s="341" t="s">
        <v>684</v>
      </c>
      <c r="H37" s="342"/>
      <c r="I37" s="335" t="s">
        <v>173</v>
      </c>
      <c r="J37" s="336"/>
      <c r="K37" s="195" t="s">
        <v>810</v>
      </c>
      <c r="L37" s="195"/>
      <c r="M37" s="197"/>
      <c r="N37" s="180" t="s">
        <v>169</v>
      </c>
      <c r="O37" s="187"/>
      <c r="P37" s="343"/>
      <c r="Q37" s="343"/>
      <c r="R37" s="344"/>
      <c r="S37" s="340"/>
      <c r="T37" s="339"/>
      <c r="U37" s="343"/>
      <c r="V37" s="345"/>
      <c r="W37" s="324"/>
      <c r="X37" s="339"/>
      <c r="Y37" s="164"/>
      <c r="Z37" s="200" t="s">
        <v>113</v>
      </c>
      <c r="AA37" s="200" t="s">
        <v>110</v>
      </c>
      <c r="AB37" s="200" t="s">
        <v>559</v>
      </c>
      <c r="AC37" s="200" t="s">
        <v>183</v>
      </c>
      <c r="AD37" s="201" t="s">
        <v>459</v>
      </c>
      <c r="AE37" s="162" t="s">
        <v>594</v>
      </c>
      <c r="AF37" s="309" t="s">
        <v>557</v>
      </c>
    </row>
    <row r="38" spans="1:32" ht="90" customHeight="1" thickBot="1">
      <c r="A38" s="160"/>
      <c r="B38" s="319" t="s">
        <v>135</v>
      </c>
      <c r="C38" s="201" t="s">
        <v>91</v>
      </c>
      <c r="D38" s="206" t="s">
        <v>317</v>
      </c>
      <c r="E38" s="207" t="s">
        <v>86</v>
      </c>
      <c r="F38" s="208"/>
      <c r="G38" s="341" t="s">
        <v>684</v>
      </c>
      <c r="H38" s="342"/>
      <c r="I38" s="335" t="s">
        <v>173</v>
      </c>
      <c r="J38" s="336"/>
      <c r="K38" s="195" t="s">
        <v>810</v>
      </c>
      <c r="L38" s="195"/>
      <c r="M38" s="197"/>
      <c r="N38" s="180" t="s">
        <v>169</v>
      </c>
      <c r="O38" s="187"/>
      <c r="P38" s="343"/>
      <c r="Q38" s="343"/>
      <c r="R38" s="344"/>
      <c r="S38" s="340"/>
      <c r="T38" s="339"/>
      <c r="U38" s="343"/>
      <c r="V38" s="345"/>
      <c r="W38" s="324"/>
      <c r="X38" s="339"/>
      <c r="Y38" s="164"/>
      <c r="Z38" s="200" t="s">
        <v>113</v>
      </c>
      <c r="AA38" s="200" t="s">
        <v>110</v>
      </c>
      <c r="AB38" s="200" t="s">
        <v>559</v>
      </c>
      <c r="AC38" s="200" t="s">
        <v>183</v>
      </c>
      <c r="AD38" s="201" t="s">
        <v>460</v>
      </c>
      <c r="AE38" s="162" t="s">
        <v>595</v>
      </c>
      <c r="AF38" s="309" t="s">
        <v>557</v>
      </c>
    </row>
    <row r="39" spans="1:32" ht="90" customHeight="1" thickBot="1">
      <c r="A39" s="160"/>
      <c r="B39" s="319" t="s">
        <v>135</v>
      </c>
      <c r="C39" s="201" t="s">
        <v>92</v>
      </c>
      <c r="D39" s="206" t="s">
        <v>318</v>
      </c>
      <c r="E39" s="207" t="s">
        <v>86</v>
      </c>
      <c r="F39" s="208"/>
      <c r="G39" s="346" t="s">
        <v>684</v>
      </c>
      <c r="H39" s="347"/>
      <c r="I39" s="335" t="s">
        <v>173</v>
      </c>
      <c r="J39" s="336"/>
      <c r="K39" s="204" t="s">
        <v>810</v>
      </c>
      <c r="L39" s="204"/>
      <c r="M39" s="202"/>
      <c r="N39" s="180" t="s">
        <v>169</v>
      </c>
      <c r="O39" s="187"/>
      <c r="P39" s="348"/>
      <c r="Q39" s="348"/>
      <c r="R39" s="349"/>
      <c r="S39" s="340"/>
      <c r="T39" s="339"/>
      <c r="U39" s="337"/>
      <c r="V39" s="350"/>
      <c r="W39" s="324"/>
      <c r="X39" s="339"/>
      <c r="Y39" s="164"/>
      <c r="Z39" s="200" t="s">
        <v>113</v>
      </c>
      <c r="AA39" s="200" t="s">
        <v>110</v>
      </c>
      <c r="AB39" s="200" t="s">
        <v>559</v>
      </c>
      <c r="AC39" s="200" t="s">
        <v>183</v>
      </c>
      <c r="AD39" s="201" t="s">
        <v>461</v>
      </c>
      <c r="AE39" s="162" t="s">
        <v>596</v>
      </c>
      <c r="AF39" s="309" t="s">
        <v>557</v>
      </c>
    </row>
    <row r="40" spans="1:32" ht="90" customHeight="1" thickBot="1">
      <c r="A40" s="160"/>
      <c r="B40" s="319" t="s">
        <v>135</v>
      </c>
      <c r="C40" s="201" t="s">
        <v>94</v>
      </c>
      <c r="D40" s="206" t="s">
        <v>319</v>
      </c>
      <c r="E40" s="207" t="s">
        <v>86</v>
      </c>
      <c r="F40" s="208"/>
      <c r="G40" s="346" t="s">
        <v>684</v>
      </c>
      <c r="H40" s="347"/>
      <c r="I40" s="335" t="s">
        <v>173</v>
      </c>
      <c r="J40" s="336"/>
      <c r="K40" s="204" t="s">
        <v>810</v>
      </c>
      <c r="L40" s="204"/>
      <c r="M40" s="202"/>
      <c r="N40" s="180" t="s">
        <v>169</v>
      </c>
      <c r="O40" s="187"/>
      <c r="P40" s="348"/>
      <c r="Q40" s="348"/>
      <c r="R40" s="349"/>
      <c r="S40" s="340"/>
      <c r="T40" s="339"/>
      <c r="U40" s="337"/>
      <c r="V40" s="350"/>
      <c r="W40" s="324"/>
      <c r="X40" s="339"/>
      <c r="Y40" s="164"/>
      <c r="Z40" s="200" t="s">
        <v>113</v>
      </c>
      <c r="AA40" s="200" t="s">
        <v>110</v>
      </c>
      <c r="AB40" s="200" t="s">
        <v>559</v>
      </c>
      <c r="AC40" s="200" t="s">
        <v>183</v>
      </c>
      <c r="AD40" s="201" t="s">
        <v>462</v>
      </c>
      <c r="AE40" s="162" t="s">
        <v>597</v>
      </c>
      <c r="AF40" s="309" t="s">
        <v>557</v>
      </c>
    </row>
    <row r="41" spans="1:32" ht="90" customHeight="1" thickBot="1">
      <c r="A41" s="160"/>
      <c r="B41" s="319" t="s">
        <v>135</v>
      </c>
      <c r="C41" s="201" t="s">
        <v>97</v>
      </c>
      <c r="D41" s="206" t="s">
        <v>320</v>
      </c>
      <c r="E41" s="207" t="s">
        <v>321</v>
      </c>
      <c r="F41" s="208"/>
      <c r="G41" s="347" t="s">
        <v>713</v>
      </c>
      <c r="H41" s="347"/>
      <c r="I41" s="335" t="s">
        <v>169</v>
      </c>
      <c r="J41" s="336"/>
      <c r="K41" s="204" t="s">
        <v>815</v>
      </c>
      <c r="L41" s="195" t="s">
        <v>817</v>
      </c>
      <c r="M41" s="202" t="s">
        <v>819</v>
      </c>
      <c r="N41" s="180" t="s">
        <v>169</v>
      </c>
      <c r="O41" s="187"/>
      <c r="P41" s="348"/>
      <c r="Q41" s="348"/>
      <c r="R41" s="349"/>
      <c r="S41" s="340"/>
      <c r="T41" s="339"/>
      <c r="U41" s="337"/>
      <c r="V41" s="350"/>
      <c r="W41" s="324"/>
      <c r="X41" s="339"/>
      <c r="Y41" s="164"/>
      <c r="Z41" s="200" t="s">
        <v>113</v>
      </c>
      <c r="AA41" s="200" t="s">
        <v>110</v>
      </c>
      <c r="AB41" s="200" t="s">
        <v>559</v>
      </c>
      <c r="AC41" s="200" t="s">
        <v>183</v>
      </c>
      <c r="AD41" s="201" t="s">
        <v>463</v>
      </c>
      <c r="AE41" s="162" t="s">
        <v>598</v>
      </c>
      <c r="AF41" s="309" t="s">
        <v>557</v>
      </c>
    </row>
    <row r="42" spans="1:32" ht="90" customHeight="1" thickBot="1">
      <c r="A42" s="160"/>
      <c r="B42" s="319" t="s">
        <v>135</v>
      </c>
      <c r="C42" s="201" t="s">
        <v>98</v>
      </c>
      <c r="D42" s="206" t="s">
        <v>322</v>
      </c>
      <c r="E42" s="207" t="s">
        <v>323</v>
      </c>
      <c r="F42" s="208"/>
      <c r="G42" s="342" t="s">
        <v>738</v>
      </c>
      <c r="H42" s="342"/>
      <c r="I42" s="335" t="s">
        <v>169</v>
      </c>
      <c r="J42" s="336"/>
      <c r="K42" s="196" t="s">
        <v>816</v>
      </c>
      <c r="L42" s="196" t="s">
        <v>818</v>
      </c>
      <c r="M42" s="197" t="s">
        <v>820</v>
      </c>
      <c r="N42" s="180" t="s">
        <v>169</v>
      </c>
      <c r="O42" s="187"/>
      <c r="P42" s="351"/>
      <c r="Q42" s="351"/>
      <c r="R42" s="344"/>
      <c r="S42" s="340"/>
      <c r="T42" s="339"/>
      <c r="U42" s="351"/>
      <c r="V42" s="344"/>
      <c r="W42" s="324"/>
      <c r="X42" s="339"/>
      <c r="Y42" s="164"/>
      <c r="Z42" s="200" t="s">
        <v>113</v>
      </c>
      <c r="AA42" s="200" t="s">
        <v>110</v>
      </c>
      <c r="AB42" s="200" t="s">
        <v>559</v>
      </c>
      <c r="AC42" s="200" t="s">
        <v>183</v>
      </c>
      <c r="AD42" s="201" t="s">
        <v>464</v>
      </c>
      <c r="AE42" s="162" t="s">
        <v>599</v>
      </c>
      <c r="AF42" s="309" t="s">
        <v>557</v>
      </c>
    </row>
    <row r="43" spans="1:32" ht="90" customHeight="1" thickBot="1">
      <c r="A43" s="160"/>
      <c r="B43" s="319" t="s">
        <v>133</v>
      </c>
      <c r="C43" s="201" t="s">
        <v>99</v>
      </c>
      <c r="D43" s="206" t="s">
        <v>324</v>
      </c>
      <c r="E43" s="207" t="s">
        <v>325</v>
      </c>
      <c r="F43" s="208" t="s">
        <v>267</v>
      </c>
      <c r="G43" s="342"/>
      <c r="H43" s="342"/>
      <c r="I43" s="335" t="s">
        <v>173</v>
      </c>
      <c r="J43" s="352"/>
      <c r="K43" s="196"/>
      <c r="L43" s="196"/>
      <c r="M43" s="197"/>
      <c r="N43" s="180" t="s">
        <v>173</v>
      </c>
      <c r="O43" s="187"/>
      <c r="P43" s="351"/>
      <c r="Q43" s="351"/>
      <c r="R43" s="344"/>
      <c r="S43" s="340"/>
      <c r="T43" s="339"/>
      <c r="U43" s="351"/>
      <c r="V43" s="344"/>
      <c r="W43" s="324"/>
      <c r="X43" s="339"/>
      <c r="Y43" s="164"/>
      <c r="Z43" s="200" t="s">
        <v>115</v>
      </c>
      <c r="AA43" s="200" t="s">
        <v>418</v>
      </c>
      <c r="AB43" s="200" t="s">
        <v>559</v>
      </c>
      <c r="AC43" s="200" t="s">
        <v>215</v>
      </c>
      <c r="AD43" s="201" t="s">
        <v>465</v>
      </c>
      <c r="AE43" s="162" t="s">
        <v>600</v>
      </c>
      <c r="AF43" s="310"/>
    </row>
    <row r="44" spans="1:32" ht="90" customHeight="1" thickBot="1">
      <c r="A44" s="160"/>
      <c r="B44" s="319" t="s">
        <v>133</v>
      </c>
      <c r="C44" s="201" t="s">
        <v>100</v>
      </c>
      <c r="D44" s="206" t="s">
        <v>324</v>
      </c>
      <c r="E44" s="207" t="s">
        <v>326</v>
      </c>
      <c r="F44" s="208" t="s">
        <v>263</v>
      </c>
      <c r="G44" s="342" t="s">
        <v>750</v>
      </c>
      <c r="H44" s="353"/>
      <c r="I44" s="353" t="s">
        <v>167</v>
      </c>
      <c r="J44" s="336"/>
      <c r="K44" s="316" t="s">
        <v>790</v>
      </c>
      <c r="L44" s="194" t="s">
        <v>789</v>
      </c>
      <c r="M44" s="194" t="s">
        <v>789</v>
      </c>
      <c r="N44" s="180" t="s">
        <v>167</v>
      </c>
      <c r="O44" s="198"/>
      <c r="P44" s="355"/>
      <c r="Q44" s="355"/>
      <c r="R44" s="356"/>
      <c r="S44" s="324"/>
      <c r="T44" s="357"/>
      <c r="U44" s="355"/>
      <c r="V44" s="356"/>
      <c r="W44" s="324"/>
      <c r="X44" s="357"/>
      <c r="Y44" s="164"/>
      <c r="Z44" s="200" t="s">
        <v>115</v>
      </c>
      <c r="AA44" s="200" t="s">
        <v>418</v>
      </c>
      <c r="AB44" s="200" t="s">
        <v>559</v>
      </c>
      <c r="AC44" s="200" t="s">
        <v>215</v>
      </c>
      <c r="AD44" s="201" t="s">
        <v>466</v>
      </c>
      <c r="AE44" s="162" t="s">
        <v>601</v>
      </c>
      <c r="AF44" s="309" t="s">
        <v>557</v>
      </c>
    </row>
    <row r="45" spans="1:32" ht="90" customHeight="1" thickBot="1">
      <c r="A45" s="160"/>
      <c r="B45" s="319" t="s">
        <v>133</v>
      </c>
      <c r="C45" s="201" t="s">
        <v>101</v>
      </c>
      <c r="D45" s="206" t="s">
        <v>324</v>
      </c>
      <c r="E45" s="207" t="s">
        <v>327</v>
      </c>
      <c r="F45" s="208" t="s">
        <v>263</v>
      </c>
      <c r="G45" s="342" t="s">
        <v>750</v>
      </c>
      <c r="H45" s="353"/>
      <c r="I45" s="353" t="s">
        <v>167</v>
      </c>
      <c r="J45" s="336"/>
      <c r="K45" s="316" t="s">
        <v>790</v>
      </c>
      <c r="L45" s="194" t="s">
        <v>789</v>
      </c>
      <c r="M45" s="194" t="s">
        <v>789</v>
      </c>
      <c r="N45" s="180" t="s">
        <v>167</v>
      </c>
      <c r="O45" s="198"/>
      <c r="P45" s="358"/>
      <c r="Q45" s="356"/>
      <c r="R45" s="356"/>
      <c r="S45" s="359"/>
      <c r="T45" s="339"/>
      <c r="U45" s="360"/>
      <c r="V45" s="361"/>
      <c r="W45" s="324"/>
      <c r="X45" s="354"/>
      <c r="Y45" s="164"/>
      <c r="Z45" s="200" t="s">
        <v>115</v>
      </c>
      <c r="AA45" s="200" t="s">
        <v>418</v>
      </c>
      <c r="AB45" s="200" t="s">
        <v>559</v>
      </c>
      <c r="AC45" s="200" t="s">
        <v>215</v>
      </c>
      <c r="AD45" s="201" t="s">
        <v>467</v>
      </c>
      <c r="AE45" s="162" t="s">
        <v>602</v>
      </c>
      <c r="AF45" s="309" t="s">
        <v>557</v>
      </c>
    </row>
    <row r="46" spans="1:32" ht="90" customHeight="1" thickBot="1">
      <c r="A46" s="160"/>
      <c r="B46" s="319" t="s">
        <v>133</v>
      </c>
      <c r="C46" s="201" t="s">
        <v>102</v>
      </c>
      <c r="D46" s="206" t="s">
        <v>328</v>
      </c>
      <c r="E46" s="207" t="s">
        <v>329</v>
      </c>
      <c r="F46" s="208" t="s">
        <v>263</v>
      </c>
      <c r="G46" s="342" t="s">
        <v>750</v>
      </c>
      <c r="H46" s="335"/>
      <c r="I46" s="353" t="s">
        <v>167</v>
      </c>
      <c r="J46" s="336"/>
      <c r="K46" s="316" t="s">
        <v>790</v>
      </c>
      <c r="L46" s="194" t="s">
        <v>789</v>
      </c>
      <c r="M46" s="194" t="s">
        <v>789</v>
      </c>
      <c r="N46" s="180" t="s">
        <v>167</v>
      </c>
      <c r="O46" s="188"/>
      <c r="P46" s="362"/>
      <c r="Q46" s="363"/>
      <c r="R46" s="364"/>
      <c r="S46" s="365"/>
      <c r="T46" s="357"/>
      <c r="U46" s="360"/>
      <c r="V46" s="361"/>
      <c r="W46" s="324"/>
      <c r="X46" s="357"/>
      <c r="Y46" s="164"/>
      <c r="Z46" s="200" t="s">
        <v>115</v>
      </c>
      <c r="AA46" s="200" t="s">
        <v>418</v>
      </c>
      <c r="AB46" s="200" t="s">
        <v>559</v>
      </c>
      <c r="AC46" s="200" t="s">
        <v>215</v>
      </c>
      <c r="AD46" s="201" t="s">
        <v>468</v>
      </c>
      <c r="AE46" s="162" t="s">
        <v>603</v>
      </c>
      <c r="AF46" s="309" t="s">
        <v>557</v>
      </c>
    </row>
    <row r="47" spans="1:32" ht="90" customHeight="1" thickBot="1">
      <c r="A47" s="160"/>
      <c r="B47" s="319" t="s">
        <v>133</v>
      </c>
      <c r="C47" s="201" t="s">
        <v>103</v>
      </c>
      <c r="D47" s="206" t="s">
        <v>330</v>
      </c>
      <c r="E47" s="207" t="s">
        <v>331</v>
      </c>
      <c r="F47" s="208" t="s">
        <v>277</v>
      </c>
      <c r="G47" s="342" t="s">
        <v>739</v>
      </c>
      <c r="H47" s="342"/>
      <c r="I47" s="335" t="s">
        <v>169</v>
      </c>
      <c r="J47" s="336"/>
      <c r="K47" s="195" t="s">
        <v>826</v>
      </c>
      <c r="L47" s="195"/>
      <c r="M47" s="197"/>
      <c r="N47" s="180" t="s">
        <v>169</v>
      </c>
      <c r="O47" s="187"/>
      <c r="P47" s="343"/>
      <c r="Q47" s="343"/>
      <c r="R47" s="344"/>
      <c r="S47" s="340"/>
      <c r="T47" s="339"/>
      <c r="U47" s="343"/>
      <c r="V47" s="345"/>
      <c r="W47" s="324"/>
      <c r="X47" s="339"/>
      <c r="Y47" s="164"/>
      <c r="Z47" s="200" t="s">
        <v>115</v>
      </c>
      <c r="AA47" s="200" t="s">
        <v>418</v>
      </c>
      <c r="AB47" s="200" t="s">
        <v>559</v>
      </c>
      <c r="AC47" s="200" t="s">
        <v>215</v>
      </c>
      <c r="AD47" s="201" t="s">
        <v>469</v>
      </c>
      <c r="AE47" s="162" t="s">
        <v>604</v>
      </c>
      <c r="AF47" s="310"/>
    </row>
    <row r="48" spans="1:32" ht="90" customHeight="1" thickBot="1">
      <c r="A48" s="160"/>
      <c r="B48" s="319" t="s">
        <v>143</v>
      </c>
      <c r="C48" s="201" t="s">
        <v>104</v>
      </c>
      <c r="D48" s="206" t="s">
        <v>332</v>
      </c>
      <c r="E48" s="207" t="s">
        <v>333</v>
      </c>
      <c r="F48" s="208" t="s">
        <v>261</v>
      </c>
      <c r="G48" s="341" t="s">
        <v>690</v>
      </c>
      <c r="H48" s="342"/>
      <c r="I48" s="335" t="s">
        <v>169</v>
      </c>
      <c r="J48" s="336"/>
      <c r="K48" s="195" t="s">
        <v>835</v>
      </c>
      <c r="L48" s="195"/>
      <c r="M48" s="197"/>
      <c r="N48" s="180" t="s">
        <v>169</v>
      </c>
      <c r="O48" s="187"/>
      <c r="P48" s="343"/>
      <c r="Q48" s="343"/>
      <c r="R48" s="344"/>
      <c r="S48" s="340"/>
      <c r="T48" s="339"/>
      <c r="U48" s="351"/>
      <c r="V48" s="345"/>
      <c r="W48" s="324"/>
      <c r="X48" s="339"/>
      <c r="Y48" s="164"/>
      <c r="Z48" s="200" t="s">
        <v>115</v>
      </c>
      <c r="AA48" s="200" t="s">
        <v>142</v>
      </c>
      <c r="AB48" s="200" t="s">
        <v>559</v>
      </c>
      <c r="AC48" s="200" t="s">
        <v>182</v>
      </c>
      <c r="AD48" s="201" t="s">
        <v>470</v>
      </c>
      <c r="AE48" s="162" t="s">
        <v>605</v>
      </c>
      <c r="AF48" s="309" t="s">
        <v>557</v>
      </c>
    </row>
    <row r="49" spans="1:32" ht="148.5" customHeight="1" thickBot="1">
      <c r="A49" s="160"/>
      <c r="B49" s="319" t="s">
        <v>424</v>
      </c>
      <c r="C49" s="201" t="s">
        <v>105</v>
      </c>
      <c r="D49" s="206" t="s">
        <v>334</v>
      </c>
      <c r="E49" s="207" t="s">
        <v>335</v>
      </c>
      <c r="F49" s="208" t="s">
        <v>261</v>
      </c>
      <c r="G49" s="320" t="s">
        <v>693</v>
      </c>
      <c r="H49" s="320"/>
      <c r="I49" s="320" t="s">
        <v>170</v>
      </c>
      <c r="J49" s="321" t="s">
        <v>694</v>
      </c>
      <c r="K49" s="182" t="s">
        <v>880</v>
      </c>
      <c r="L49" s="182"/>
      <c r="M49" s="183"/>
      <c r="N49" s="180" t="s">
        <v>170</v>
      </c>
      <c r="O49" s="184"/>
      <c r="P49" s="326"/>
      <c r="Q49" s="326"/>
      <c r="R49" s="327"/>
      <c r="S49" s="324"/>
      <c r="T49" s="328"/>
      <c r="U49" s="326"/>
      <c r="V49" s="327"/>
      <c r="W49" s="324"/>
      <c r="X49" s="328"/>
      <c r="Y49" s="161"/>
      <c r="Z49" s="200" t="s">
        <v>115</v>
      </c>
      <c r="AA49" s="200" t="s">
        <v>419</v>
      </c>
      <c r="AB49" s="200" t="s">
        <v>559</v>
      </c>
      <c r="AC49" s="200" t="s">
        <v>182</v>
      </c>
      <c r="AD49" s="201" t="s">
        <v>471</v>
      </c>
      <c r="AE49" s="162" t="s">
        <v>606</v>
      </c>
      <c r="AF49" s="309" t="s">
        <v>557</v>
      </c>
    </row>
    <row r="50" spans="1:32" ht="90" customHeight="1" thickBot="1">
      <c r="A50" s="160"/>
      <c r="B50" s="319" t="s">
        <v>143</v>
      </c>
      <c r="C50" s="201" t="s">
        <v>106</v>
      </c>
      <c r="D50" s="206" t="s">
        <v>336</v>
      </c>
      <c r="E50" s="207" t="s">
        <v>337</v>
      </c>
      <c r="F50" s="313" t="s">
        <v>274</v>
      </c>
      <c r="G50" s="320" t="s">
        <v>751</v>
      </c>
      <c r="H50" s="320"/>
      <c r="I50" s="353" t="s">
        <v>167</v>
      </c>
      <c r="J50" s="321"/>
      <c r="K50" s="316" t="s">
        <v>790</v>
      </c>
      <c r="L50" s="194" t="s">
        <v>789</v>
      </c>
      <c r="M50" s="194" t="s">
        <v>789</v>
      </c>
      <c r="N50" s="180" t="s">
        <v>167</v>
      </c>
      <c r="O50" s="184"/>
      <c r="P50" s="326"/>
      <c r="Q50" s="326"/>
      <c r="R50" s="327"/>
      <c r="S50" s="329"/>
      <c r="T50" s="328"/>
      <c r="U50" s="326"/>
      <c r="V50" s="327"/>
      <c r="W50" s="324"/>
      <c r="X50" s="328"/>
      <c r="Y50" s="163"/>
      <c r="Z50" s="200" t="s">
        <v>115</v>
      </c>
      <c r="AA50" s="200" t="s">
        <v>142</v>
      </c>
      <c r="AB50" s="200" t="s">
        <v>559</v>
      </c>
      <c r="AC50" s="200" t="s">
        <v>182</v>
      </c>
      <c r="AD50" s="201" t="s">
        <v>472</v>
      </c>
      <c r="AE50" s="162" t="s">
        <v>607</v>
      </c>
      <c r="AF50" s="309" t="s">
        <v>557</v>
      </c>
    </row>
    <row r="51" spans="1:32" ht="90" customHeight="1" thickBot="1">
      <c r="A51" s="160"/>
      <c r="B51" s="319" t="s">
        <v>143</v>
      </c>
      <c r="C51" s="201" t="s">
        <v>107</v>
      </c>
      <c r="D51" s="206" t="s">
        <v>336</v>
      </c>
      <c r="E51" s="207" t="s">
        <v>338</v>
      </c>
      <c r="F51" s="208" t="s">
        <v>339</v>
      </c>
      <c r="G51" s="320" t="s">
        <v>687</v>
      </c>
      <c r="H51" s="320"/>
      <c r="I51" s="320" t="s">
        <v>169</v>
      </c>
      <c r="J51" s="321"/>
      <c r="K51" s="182" t="s">
        <v>834</v>
      </c>
      <c r="L51" s="182"/>
      <c r="M51" s="183"/>
      <c r="N51" s="180" t="s">
        <v>169</v>
      </c>
      <c r="O51" s="184"/>
      <c r="P51" s="326"/>
      <c r="Q51" s="326"/>
      <c r="R51" s="327"/>
      <c r="S51" s="329"/>
      <c r="T51" s="328"/>
      <c r="U51" s="326"/>
      <c r="V51" s="327"/>
      <c r="W51" s="324"/>
      <c r="X51" s="328"/>
      <c r="Y51" s="163"/>
      <c r="Z51" s="200" t="s">
        <v>115</v>
      </c>
      <c r="AA51" s="200" t="s">
        <v>142</v>
      </c>
      <c r="AB51" s="200" t="s">
        <v>559</v>
      </c>
      <c r="AC51" s="200" t="s">
        <v>182</v>
      </c>
      <c r="AD51" s="201" t="s">
        <v>473</v>
      </c>
      <c r="AE51" s="162" t="s">
        <v>608</v>
      </c>
      <c r="AF51" s="309" t="s">
        <v>557</v>
      </c>
    </row>
    <row r="52" spans="1:32" ht="90" customHeight="1" thickBot="1">
      <c r="A52" s="160"/>
      <c r="B52" s="319" t="s">
        <v>143</v>
      </c>
      <c r="C52" s="201" t="s">
        <v>108</v>
      </c>
      <c r="D52" s="206" t="s">
        <v>340</v>
      </c>
      <c r="E52" s="207" t="s">
        <v>341</v>
      </c>
      <c r="F52" s="208" t="s">
        <v>261</v>
      </c>
      <c r="G52" s="335" t="s">
        <v>688</v>
      </c>
      <c r="H52" s="335"/>
      <c r="I52" s="335" t="s">
        <v>169</v>
      </c>
      <c r="J52" s="336"/>
      <c r="K52" s="185" t="s">
        <v>868</v>
      </c>
      <c r="L52" s="185"/>
      <c r="M52" s="186"/>
      <c r="N52" s="180" t="s">
        <v>173</v>
      </c>
      <c r="O52" s="187"/>
      <c r="P52" s="337"/>
      <c r="Q52" s="337"/>
      <c r="R52" s="338"/>
      <c r="S52" s="340"/>
      <c r="T52" s="339"/>
      <c r="U52" s="337"/>
      <c r="V52" s="338"/>
      <c r="W52" s="324"/>
      <c r="X52" s="339"/>
      <c r="Y52" s="164"/>
      <c r="Z52" s="200" t="s">
        <v>115</v>
      </c>
      <c r="AA52" s="200" t="s">
        <v>142</v>
      </c>
      <c r="AB52" s="200" t="s">
        <v>559</v>
      </c>
      <c r="AC52" s="200" t="s">
        <v>182</v>
      </c>
      <c r="AD52" s="201" t="s">
        <v>474</v>
      </c>
      <c r="AE52" s="162" t="s">
        <v>609</v>
      </c>
      <c r="AF52" s="309" t="s">
        <v>557</v>
      </c>
    </row>
    <row r="53" spans="1:32" ht="90" customHeight="1" thickBot="1">
      <c r="A53" s="160"/>
      <c r="B53" s="319" t="s">
        <v>143</v>
      </c>
      <c r="C53" s="201" t="s">
        <v>342</v>
      </c>
      <c r="D53" s="206" t="s">
        <v>343</v>
      </c>
      <c r="E53" s="207" t="s">
        <v>344</v>
      </c>
      <c r="F53" s="208" t="s">
        <v>267</v>
      </c>
      <c r="G53" s="320" t="s">
        <v>687</v>
      </c>
      <c r="H53" s="320"/>
      <c r="I53" s="320" t="s">
        <v>169</v>
      </c>
      <c r="J53" s="321"/>
      <c r="K53" s="179" t="s">
        <v>836</v>
      </c>
      <c r="L53" s="178"/>
      <c r="M53" s="179"/>
      <c r="N53" s="180" t="s">
        <v>169</v>
      </c>
      <c r="O53" s="181"/>
      <c r="P53" s="322"/>
      <c r="Q53" s="322"/>
      <c r="R53" s="323"/>
      <c r="S53" s="324"/>
      <c r="T53" s="325"/>
      <c r="U53" s="322"/>
      <c r="V53" s="323"/>
      <c r="W53" s="324"/>
      <c r="X53" s="325"/>
      <c r="Y53" s="161"/>
      <c r="Z53" s="200" t="s">
        <v>115</v>
      </c>
      <c r="AA53" s="200" t="s">
        <v>142</v>
      </c>
      <c r="AB53" s="200" t="s">
        <v>559</v>
      </c>
      <c r="AC53" s="200" t="s">
        <v>182</v>
      </c>
      <c r="AD53" s="201" t="s">
        <v>475</v>
      </c>
      <c r="AE53" s="162" t="s">
        <v>610</v>
      </c>
      <c r="AF53" s="309" t="s">
        <v>557</v>
      </c>
    </row>
    <row r="54" spans="1:32" ht="90" customHeight="1" thickBot="1">
      <c r="A54" s="160"/>
      <c r="B54" s="319" t="s">
        <v>143</v>
      </c>
      <c r="C54" s="201" t="s">
        <v>345</v>
      </c>
      <c r="D54" s="206" t="s">
        <v>346</v>
      </c>
      <c r="E54" s="207" t="s">
        <v>347</v>
      </c>
      <c r="F54" s="314" t="s">
        <v>752</v>
      </c>
      <c r="G54" s="320" t="s">
        <v>689</v>
      </c>
      <c r="H54" s="320"/>
      <c r="I54" s="320" t="s">
        <v>169</v>
      </c>
      <c r="J54" s="321"/>
      <c r="K54" s="179" t="s">
        <v>837</v>
      </c>
      <c r="L54" s="178"/>
      <c r="M54" s="179"/>
      <c r="N54" s="180" t="s">
        <v>160</v>
      </c>
      <c r="O54" s="181"/>
      <c r="P54" s="322"/>
      <c r="Q54" s="322"/>
      <c r="R54" s="323"/>
      <c r="S54" s="324"/>
      <c r="T54" s="325"/>
      <c r="U54" s="322"/>
      <c r="V54" s="323"/>
      <c r="W54" s="324"/>
      <c r="X54" s="325"/>
      <c r="Y54" s="161"/>
      <c r="Z54" s="200" t="s">
        <v>115</v>
      </c>
      <c r="AA54" s="200" t="s">
        <v>142</v>
      </c>
      <c r="AB54" s="200" t="s">
        <v>559</v>
      </c>
      <c r="AC54" s="200" t="s">
        <v>182</v>
      </c>
      <c r="AD54" s="201" t="s">
        <v>476</v>
      </c>
      <c r="AE54" s="162" t="s">
        <v>611</v>
      </c>
      <c r="AF54" s="309" t="s">
        <v>557</v>
      </c>
    </row>
    <row r="55" spans="1:32" ht="135.75" thickBot="1">
      <c r="A55" s="160"/>
      <c r="B55" s="319" t="s">
        <v>143</v>
      </c>
      <c r="C55" s="201" t="s">
        <v>348</v>
      </c>
      <c r="D55" s="206" t="s">
        <v>349</v>
      </c>
      <c r="E55" s="207" t="s">
        <v>753</v>
      </c>
      <c r="F55" s="208" t="s">
        <v>261</v>
      </c>
      <c r="G55" s="320" t="s">
        <v>772</v>
      </c>
      <c r="H55" s="320"/>
      <c r="I55" s="320" t="s">
        <v>169</v>
      </c>
      <c r="J55" s="321"/>
      <c r="K55" s="182" t="s">
        <v>848</v>
      </c>
      <c r="L55" s="182"/>
      <c r="M55" s="183"/>
      <c r="N55" s="180" t="s">
        <v>169</v>
      </c>
      <c r="O55" s="184"/>
      <c r="P55" s="326"/>
      <c r="Q55" s="326"/>
      <c r="R55" s="327"/>
      <c r="S55" s="329"/>
      <c r="T55" s="328"/>
      <c r="U55" s="326"/>
      <c r="V55" s="327"/>
      <c r="W55" s="324"/>
      <c r="X55" s="328"/>
      <c r="Y55" s="163"/>
      <c r="Z55" s="200" t="s">
        <v>115</v>
      </c>
      <c r="AA55" s="200" t="s">
        <v>142</v>
      </c>
      <c r="AB55" s="200" t="s">
        <v>559</v>
      </c>
      <c r="AC55" s="200" t="s">
        <v>182</v>
      </c>
      <c r="AD55" s="201" t="s">
        <v>477</v>
      </c>
      <c r="AE55" s="162" t="s">
        <v>612</v>
      </c>
      <c r="AF55" s="309" t="s">
        <v>557</v>
      </c>
    </row>
    <row r="56" spans="1:32" ht="90" customHeight="1" thickBot="1">
      <c r="A56" s="160"/>
      <c r="B56" s="319" t="s">
        <v>127</v>
      </c>
      <c r="C56" s="201" t="s">
        <v>2</v>
      </c>
      <c r="D56" s="206" t="s">
        <v>350</v>
      </c>
      <c r="E56" s="207" t="s">
        <v>351</v>
      </c>
      <c r="F56" s="208" t="s">
        <v>754</v>
      </c>
      <c r="G56" s="320" t="s">
        <v>869</v>
      </c>
      <c r="H56" s="320"/>
      <c r="I56" s="320" t="s">
        <v>169</v>
      </c>
      <c r="J56" s="321"/>
      <c r="K56" s="182" t="s">
        <v>793</v>
      </c>
      <c r="L56" s="182"/>
      <c r="M56" s="183"/>
      <c r="N56" s="180" t="s">
        <v>169</v>
      </c>
      <c r="O56" s="184"/>
      <c r="P56" s="322"/>
      <c r="Q56" s="322"/>
      <c r="R56" s="327"/>
      <c r="S56" s="329"/>
      <c r="T56" s="328"/>
      <c r="U56" s="326"/>
      <c r="V56" s="327"/>
      <c r="W56" s="324"/>
      <c r="X56" s="328"/>
      <c r="Y56" s="161"/>
      <c r="Z56" s="200" t="s">
        <v>113</v>
      </c>
      <c r="AA56" s="200" t="s">
        <v>420</v>
      </c>
      <c r="AB56" s="200" t="s">
        <v>117</v>
      </c>
      <c r="AC56" s="200" t="s">
        <v>184</v>
      </c>
      <c r="AD56" s="201" t="s">
        <v>478</v>
      </c>
      <c r="AE56" s="162" t="s">
        <v>613</v>
      </c>
      <c r="AF56" s="309" t="s">
        <v>557</v>
      </c>
    </row>
    <row r="57" spans="1:32" ht="90" customHeight="1" thickBot="1">
      <c r="A57" s="160"/>
      <c r="B57" s="319" t="s">
        <v>127</v>
      </c>
      <c r="C57" s="201" t="s">
        <v>4</v>
      </c>
      <c r="D57" s="206" t="s">
        <v>350</v>
      </c>
      <c r="E57" s="207" t="s">
        <v>352</v>
      </c>
      <c r="F57" s="208" t="s">
        <v>267</v>
      </c>
      <c r="G57" s="320"/>
      <c r="H57" s="320"/>
      <c r="I57" s="320" t="s">
        <v>173</v>
      </c>
      <c r="J57" s="331"/>
      <c r="K57" s="182"/>
      <c r="L57" s="182"/>
      <c r="M57" s="183"/>
      <c r="N57" s="180" t="s">
        <v>173</v>
      </c>
      <c r="O57" s="184"/>
      <c r="P57" s="326"/>
      <c r="Q57" s="326"/>
      <c r="R57" s="327"/>
      <c r="S57" s="324"/>
      <c r="T57" s="328"/>
      <c r="U57" s="326"/>
      <c r="V57" s="327"/>
      <c r="W57" s="324"/>
      <c r="X57" s="328"/>
      <c r="Y57" s="163"/>
      <c r="Z57" s="200" t="s">
        <v>113</v>
      </c>
      <c r="AA57" s="200" t="s">
        <v>420</v>
      </c>
      <c r="AB57" s="200" t="s">
        <v>117</v>
      </c>
      <c r="AC57" s="200" t="s">
        <v>184</v>
      </c>
      <c r="AD57" s="201" t="s">
        <v>479</v>
      </c>
      <c r="AE57" s="162" t="s">
        <v>614</v>
      </c>
      <c r="AF57" s="310"/>
    </row>
    <row r="58" spans="1:32" ht="90" customHeight="1" thickBot="1">
      <c r="A58" s="160"/>
      <c r="B58" s="319" t="s">
        <v>127</v>
      </c>
      <c r="C58" s="201" t="s">
        <v>6</v>
      </c>
      <c r="D58" s="206" t="s">
        <v>350</v>
      </c>
      <c r="E58" s="207" t="s">
        <v>353</v>
      </c>
      <c r="F58" s="208" t="s">
        <v>261</v>
      </c>
      <c r="G58" s="320"/>
      <c r="H58" s="320"/>
      <c r="I58" s="320" t="s">
        <v>173</v>
      </c>
      <c r="J58" s="321"/>
      <c r="K58" s="182"/>
      <c r="L58" s="182"/>
      <c r="M58" s="183"/>
      <c r="N58" s="180" t="s">
        <v>173</v>
      </c>
      <c r="O58" s="184"/>
      <c r="P58" s="326"/>
      <c r="Q58" s="326"/>
      <c r="R58" s="327"/>
      <c r="S58" s="324"/>
      <c r="T58" s="328"/>
      <c r="U58" s="326"/>
      <c r="V58" s="327"/>
      <c r="W58" s="324"/>
      <c r="X58" s="328"/>
      <c r="Y58" s="163"/>
      <c r="Z58" s="200" t="s">
        <v>113</v>
      </c>
      <c r="AA58" s="200" t="s">
        <v>420</v>
      </c>
      <c r="AB58" s="200" t="s">
        <v>117</v>
      </c>
      <c r="AC58" s="200" t="s">
        <v>184</v>
      </c>
      <c r="AD58" s="201" t="s">
        <v>480</v>
      </c>
      <c r="AE58" s="162" t="s">
        <v>615</v>
      </c>
      <c r="AF58" s="310"/>
    </row>
    <row r="59" spans="1:32" ht="90" customHeight="1" thickBot="1">
      <c r="A59" s="160"/>
      <c r="B59" s="319" t="s">
        <v>127</v>
      </c>
      <c r="C59" s="201" t="s">
        <v>8</v>
      </c>
      <c r="D59" s="206" t="s">
        <v>350</v>
      </c>
      <c r="E59" s="207" t="s">
        <v>354</v>
      </c>
      <c r="F59" s="208" t="s">
        <v>261</v>
      </c>
      <c r="G59" s="320"/>
      <c r="H59" s="320"/>
      <c r="I59" s="320" t="s">
        <v>173</v>
      </c>
      <c r="J59" s="321"/>
      <c r="K59" s="182"/>
      <c r="L59" s="182"/>
      <c r="M59" s="183"/>
      <c r="N59" s="180" t="s">
        <v>173</v>
      </c>
      <c r="O59" s="184"/>
      <c r="P59" s="326"/>
      <c r="Q59" s="326"/>
      <c r="R59" s="327"/>
      <c r="S59" s="329"/>
      <c r="T59" s="328"/>
      <c r="U59" s="326"/>
      <c r="V59" s="327"/>
      <c r="W59" s="324"/>
      <c r="X59" s="328"/>
      <c r="Y59" s="163"/>
      <c r="Z59" s="200" t="s">
        <v>113</v>
      </c>
      <c r="AA59" s="200" t="s">
        <v>420</v>
      </c>
      <c r="AB59" s="200" t="s">
        <v>117</v>
      </c>
      <c r="AC59" s="200" t="s">
        <v>184</v>
      </c>
      <c r="AD59" s="201" t="s">
        <v>481</v>
      </c>
      <c r="AE59" s="162" t="s">
        <v>616</v>
      </c>
      <c r="AF59" s="310"/>
    </row>
    <row r="60" spans="1:32" ht="90" customHeight="1" thickBot="1">
      <c r="A60" s="160"/>
      <c r="B60" s="319" t="s">
        <v>127</v>
      </c>
      <c r="C60" s="201" t="s">
        <v>11</v>
      </c>
      <c r="D60" s="206" t="s">
        <v>350</v>
      </c>
      <c r="E60" s="207" t="s">
        <v>355</v>
      </c>
      <c r="F60" s="208" t="s">
        <v>277</v>
      </c>
      <c r="G60" s="320" t="s">
        <v>669</v>
      </c>
      <c r="H60" s="320"/>
      <c r="I60" s="320" t="s">
        <v>169</v>
      </c>
      <c r="J60" s="321"/>
      <c r="K60" s="182" t="s">
        <v>794</v>
      </c>
      <c r="L60" s="182"/>
      <c r="M60" s="183"/>
      <c r="N60" s="180" t="s">
        <v>160</v>
      </c>
      <c r="O60" s="184"/>
      <c r="P60" s="326"/>
      <c r="Q60" s="326"/>
      <c r="R60" s="327"/>
      <c r="S60" s="329"/>
      <c r="T60" s="328"/>
      <c r="U60" s="326"/>
      <c r="V60" s="327"/>
      <c r="W60" s="324"/>
      <c r="X60" s="328"/>
      <c r="Y60" s="161"/>
      <c r="Z60" s="200" t="s">
        <v>113</v>
      </c>
      <c r="AA60" s="200" t="s">
        <v>420</v>
      </c>
      <c r="AB60" s="200" t="s">
        <v>117</v>
      </c>
      <c r="AC60" s="200" t="s">
        <v>184</v>
      </c>
      <c r="AD60" s="201" t="s">
        <v>482</v>
      </c>
      <c r="AE60" s="162" t="s">
        <v>617</v>
      </c>
      <c r="AF60" s="310"/>
    </row>
    <row r="61" spans="1:32" ht="135" customHeight="1" thickBot="1">
      <c r="A61" s="160"/>
      <c r="B61" s="319" t="s">
        <v>130</v>
      </c>
      <c r="C61" s="201" t="s">
        <v>12</v>
      </c>
      <c r="D61" s="206" t="s">
        <v>350</v>
      </c>
      <c r="E61" s="207" t="s">
        <v>356</v>
      </c>
      <c r="F61" s="208" t="s">
        <v>357</v>
      </c>
      <c r="G61" s="320" t="s">
        <v>781</v>
      </c>
      <c r="H61" s="320"/>
      <c r="I61" s="320" t="s">
        <v>164</v>
      </c>
      <c r="J61" s="321"/>
      <c r="K61" s="182" t="s">
        <v>870</v>
      </c>
      <c r="L61" s="182"/>
      <c r="M61" s="183"/>
      <c r="N61" s="180" t="s">
        <v>171</v>
      </c>
      <c r="O61" s="184"/>
      <c r="P61" s="326"/>
      <c r="Q61" s="326"/>
      <c r="R61" s="327"/>
      <c r="S61" s="329"/>
      <c r="T61" s="328"/>
      <c r="U61" s="326"/>
      <c r="V61" s="327"/>
      <c r="W61" s="324"/>
      <c r="X61" s="328"/>
      <c r="Y61" s="161"/>
      <c r="Z61" s="200" t="s">
        <v>113</v>
      </c>
      <c r="AA61" s="200" t="s">
        <v>421</v>
      </c>
      <c r="AB61" s="200" t="s">
        <v>117</v>
      </c>
      <c r="AC61" s="200" t="s">
        <v>184</v>
      </c>
      <c r="AD61" s="201" t="s">
        <v>483</v>
      </c>
      <c r="AE61" s="162" t="s">
        <v>618</v>
      </c>
      <c r="AF61" s="309" t="s">
        <v>557</v>
      </c>
    </row>
    <row r="62" spans="1:32" ht="153.75" customHeight="1" thickBot="1">
      <c r="A62" s="160"/>
      <c r="B62" s="319" t="s">
        <v>127</v>
      </c>
      <c r="C62" s="201" t="s">
        <v>13</v>
      </c>
      <c r="D62" s="206" t="s">
        <v>9</v>
      </c>
      <c r="E62" s="207" t="s">
        <v>10</v>
      </c>
      <c r="F62" s="208" t="s">
        <v>261</v>
      </c>
      <c r="G62" s="320" t="s">
        <v>670</v>
      </c>
      <c r="H62" s="320"/>
      <c r="I62" s="320" t="s">
        <v>169</v>
      </c>
      <c r="J62" s="321"/>
      <c r="K62" s="178" t="s">
        <v>796</v>
      </c>
      <c r="L62" s="178"/>
      <c r="M62" s="179"/>
      <c r="N62" s="180" t="s">
        <v>169</v>
      </c>
      <c r="O62" s="181"/>
      <c r="P62" s="322"/>
      <c r="Q62" s="322"/>
      <c r="R62" s="323"/>
      <c r="S62" s="324"/>
      <c r="T62" s="325"/>
      <c r="U62" s="322"/>
      <c r="V62" s="323"/>
      <c r="W62" s="324"/>
      <c r="X62" s="325"/>
      <c r="Y62" s="161"/>
      <c r="Z62" s="200" t="s">
        <v>113</v>
      </c>
      <c r="AA62" s="200" t="s">
        <v>420</v>
      </c>
      <c r="AB62" s="200" t="s">
        <v>117</v>
      </c>
      <c r="AC62" s="200" t="s">
        <v>184</v>
      </c>
      <c r="AD62" s="201" t="s">
        <v>484</v>
      </c>
      <c r="AE62" s="162" t="s">
        <v>619</v>
      </c>
      <c r="AF62" s="310"/>
    </row>
    <row r="63" spans="1:32" ht="90" customHeight="1" thickBot="1">
      <c r="A63" s="160"/>
      <c r="B63" s="319" t="s">
        <v>127</v>
      </c>
      <c r="C63" s="201" t="s">
        <v>15</v>
      </c>
      <c r="D63" s="206" t="s">
        <v>358</v>
      </c>
      <c r="E63" s="207" t="s">
        <v>3</v>
      </c>
      <c r="F63" s="208" t="s">
        <v>359</v>
      </c>
      <c r="G63" s="320" t="s">
        <v>671</v>
      </c>
      <c r="H63" s="320"/>
      <c r="I63" s="320" t="s">
        <v>173</v>
      </c>
      <c r="J63" s="321"/>
      <c r="K63" s="182" t="s">
        <v>795</v>
      </c>
      <c r="L63" s="182"/>
      <c r="M63" s="183"/>
      <c r="N63" s="180" t="s">
        <v>169</v>
      </c>
      <c r="O63" s="184"/>
      <c r="P63" s="326"/>
      <c r="Q63" s="326"/>
      <c r="R63" s="327"/>
      <c r="S63" s="324"/>
      <c r="T63" s="328"/>
      <c r="U63" s="326"/>
      <c r="V63" s="327"/>
      <c r="W63" s="324"/>
      <c r="X63" s="328"/>
      <c r="Y63" s="161"/>
      <c r="Z63" s="200" t="s">
        <v>113</v>
      </c>
      <c r="AA63" s="200" t="s">
        <v>420</v>
      </c>
      <c r="AB63" s="200" t="s">
        <v>117</v>
      </c>
      <c r="AC63" s="200" t="s">
        <v>184</v>
      </c>
      <c r="AD63" s="201" t="s">
        <v>485</v>
      </c>
      <c r="AE63" s="162" t="s">
        <v>620</v>
      </c>
      <c r="AF63" s="310"/>
    </row>
    <row r="64" spans="1:32" ht="90" customHeight="1" thickBot="1">
      <c r="A64" s="160"/>
      <c r="B64" s="319" t="s">
        <v>127</v>
      </c>
      <c r="C64" s="201" t="s">
        <v>16</v>
      </c>
      <c r="D64" s="206" t="s">
        <v>360</v>
      </c>
      <c r="E64" s="207" t="s">
        <v>5</v>
      </c>
      <c r="F64" s="208" t="s">
        <v>261</v>
      </c>
      <c r="G64" s="320" t="s">
        <v>755</v>
      </c>
      <c r="H64" s="320"/>
      <c r="I64" s="320" t="s">
        <v>168</v>
      </c>
      <c r="J64" s="321"/>
      <c r="K64" s="316" t="s">
        <v>791</v>
      </c>
      <c r="L64" s="194" t="s">
        <v>789</v>
      </c>
      <c r="M64" s="194" t="s">
        <v>789</v>
      </c>
      <c r="N64" s="180" t="s">
        <v>168</v>
      </c>
      <c r="O64" s="184"/>
      <c r="P64" s="326"/>
      <c r="Q64" s="326"/>
      <c r="R64" s="326"/>
      <c r="S64" s="329"/>
      <c r="T64" s="328"/>
      <c r="U64" s="326"/>
      <c r="V64" s="327"/>
      <c r="W64" s="324"/>
      <c r="X64" s="328"/>
      <c r="Y64" s="161"/>
      <c r="Z64" s="200" t="s">
        <v>113</v>
      </c>
      <c r="AA64" s="200" t="s">
        <v>420</v>
      </c>
      <c r="AB64" s="200" t="s">
        <v>117</v>
      </c>
      <c r="AC64" s="200" t="s">
        <v>184</v>
      </c>
      <c r="AD64" s="201" t="s">
        <v>486</v>
      </c>
      <c r="AE64" s="162" t="s">
        <v>621</v>
      </c>
      <c r="AF64" s="309" t="s">
        <v>557</v>
      </c>
    </row>
    <row r="65" spans="1:32" ht="90" customHeight="1" thickBot="1">
      <c r="A65" s="160"/>
      <c r="B65" s="319" t="s">
        <v>127</v>
      </c>
      <c r="C65" s="201" t="s">
        <v>17</v>
      </c>
      <c r="D65" s="206" t="s">
        <v>7</v>
      </c>
      <c r="E65" s="207" t="s">
        <v>361</v>
      </c>
      <c r="F65" s="208" t="s">
        <v>768</v>
      </c>
      <c r="G65" s="330" t="s">
        <v>672</v>
      </c>
      <c r="H65" s="320"/>
      <c r="I65" s="320" t="s">
        <v>169</v>
      </c>
      <c r="J65" s="321"/>
      <c r="K65" s="178" t="s">
        <v>871</v>
      </c>
      <c r="L65" s="178"/>
      <c r="M65" s="179"/>
      <c r="N65" s="180" t="s">
        <v>169</v>
      </c>
      <c r="O65" s="181"/>
      <c r="P65" s="322"/>
      <c r="Q65" s="322"/>
      <c r="R65" s="323"/>
      <c r="S65" s="324"/>
      <c r="T65" s="325"/>
      <c r="U65" s="322"/>
      <c r="V65" s="323"/>
      <c r="W65" s="324"/>
      <c r="X65" s="325"/>
      <c r="Y65" s="161"/>
      <c r="Z65" s="200" t="s">
        <v>113</v>
      </c>
      <c r="AA65" s="200" t="s">
        <v>420</v>
      </c>
      <c r="AB65" s="200" t="s">
        <v>117</v>
      </c>
      <c r="AC65" s="200" t="s">
        <v>184</v>
      </c>
      <c r="AD65" s="201" t="s">
        <v>487</v>
      </c>
      <c r="AE65" s="162" t="s">
        <v>622</v>
      </c>
      <c r="AF65" s="309" t="s">
        <v>557</v>
      </c>
    </row>
    <row r="66" spans="1:32" ht="90" customHeight="1" thickBot="1">
      <c r="A66" s="160"/>
      <c r="B66" s="319" t="s">
        <v>126</v>
      </c>
      <c r="C66" s="201" t="s">
        <v>18</v>
      </c>
      <c r="D66" s="206" t="s">
        <v>362</v>
      </c>
      <c r="E66" s="207" t="s">
        <v>363</v>
      </c>
      <c r="F66" s="208" t="s">
        <v>357</v>
      </c>
      <c r="G66" s="330" t="s">
        <v>732</v>
      </c>
      <c r="H66" s="320"/>
      <c r="I66" s="320" t="s">
        <v>160</v>
      </c>
      <c r="J66" s="321"/>
      <c r="K66" s="182"/>
      <c r="L66" s="182"/>
      <c r="M66" s="183"/>
      <c r="N66" s="180" t="s">
        <v>160</v>
      </c>
      <c r="O66" s="184"/>
      <c r="P66" s="326"/>
      <c r="Q66" s="326"/>
      <c r="R66" s="327"/>
      <c r="S66" s="324"/>
      <c r="T66" s="328"/>
      <c r="U66" s="326"/>
      <c r="V66" s="327"/>
      <c r="W66" s="324"/>
      <c r="X66" s="328"/>
      <c r="Y66" s="161"/>
      <c r="Z66" s="200" t="s">
        <v>113</v>
      </c>
      <c r="AA66" s="200" t="s">
        <v>125</v>
      </c>
      <c r="AB66" s="200" t="s">
        <v>117</v>
      </c>
      <c r="AC66" s="200" t="s">
        <v>184</v>
      </c>
      <c r="AD66" s="201" t="s">
        <v>488</v>
      </c>
      <c r="AE66" s="162" t="s">
        <v>623</v>
      </c>
      <c r="AF66" s="309" t="s">
        <v>557</v>
      </c>
    </row>
    <row r="67" spans="1:32" ht="114.75" customHeight="1" thickBot="1">
      <c r="A67" s="160"/>
      <c r="B67" s="319" t="s">
        <v>126</v>
      </c>
      <c r="C67" s="201" t="s">
        <v>19</v>
      </c>
      <c r="D67" s="206" t="s">
        <v>364</v>
      </c>
      <c r="E67" s="207" t="s">
        <v>365</v>
      </c>
      <c r="F67" s="208" t="s">
        <v>357</v>
      </c>
      <c r="G67" s="320" t="s">
        <v>787</v>
      </c>
      <c r="H67" s="320"/>
      <c r="I67" s="320" t="s">
        <v>164</v>
      </c>
      <c r="J67" s="321"/>
      <c r="K67" s="182" t="s">
        <v>881</v>
      </c>
      <c r="L67" s="182"/>
      <c r="M67" s="183"/>
      <c r="N67" s="180" t="s">
        <v>164</v>
      </c>
      <c r="O67" s="184"/>
      <c r="P67" s="326"/>
      <c r="Q67" s="326"/>
      <c r="R67" s="327"/>
      <c r="S67" s="329"/>
      <c r="T67" s="328"/>
      <c r="U67" s="326"/>
      <c r="V67" s="327"/>
      <c r="W67" s="324"/>
      <c r="X67" s="328"/>
      <c r="Y67" s="161"/>
      <c r="Z67" s="200" t="s">
        <v>113</v>
      </c>
      <c r="AA67" s="200" t="s">
        <v>125</v>
      </c>
      <c r="AB67" s="200" t="s">
        <v>117</v>
      </c>
      <c r="AC67" s="200" t="s">
        <v>184</v>
      </c>
      <c r="AD67" s="201" t="s">
        <v>489</v>
      </c>
      <c r="AE67" s="162" t="s">
        <v>624</v>
      </c>
      <c r="AF67" s="309" t="s">
        <v>557</v>
      </c>
    </row>
    <row r="68" spans="1:32" ht="90" customHeight="1" thickBot="1">
      <c r="A68" s="160"/>
      <c r="B68" s="319" t="s">
        <v>255</v>
      </c>
      <c r="C68" s="201" t="s">
        <v>20</v>
      </c>
      <c r="D68" s="206" t="s">
        <v>14</v>
      </c>
      <c r="E68" s="207" t="s">
        <v>366</v>
      </c>
      <c r="F68" s="208" t="s">
        <v>277</v>
      </c>
      <c r="G68" s="366" t="s">
        <v>756</v>
      </c>
      <c r="H68" s="367"/>
      <c r="I68" s="320" t="s">
        <v>169</v>
      </c>
      <c r="J68" s="321"/>
      <c r="K68" s="182" t="s">
        <v>838</v>
      </c>
      <c r="L68" s="199"/>
      <c r="M68" s="183"/>
      <c r="N68" s="180" t="s">
        <v>169</v>
      </c>
      <c r="O68" s="182"/>
      <c r="P68" s="326"/>
      <c r="Q68" s="369"/>
      <c r="R68" s="327"/>
      <c r="S68" s="329"/>
      <c r="T68" s="328"/>
      <c r="U68" s="326"/>
      <c r="V68" s="368"/>
      <c r="W68" s="324"/>
      <c r="X68" s="328"/>
      <c r="Y68" s="163"/>
      <c r="Z68" s="200" t="s">
        <v>113</v>
      </c>
      <c r="AA68" s="200" t="s">
        <v>421</v>
      </c>
      <c r="AB68" s="200" t="s">
        <v>117</v>
      </c>
      <c r="AC68" s="200" t="s">
        <v>184</v>
      </c>
      <c r="AD68" s="201" t="s">
        <v>490</v>
      </c>
      <c r="AE68" s="162" t="s">
        <v>625</v>
      </c>
      <c r="AF68" s="310"/>
    </row>
    <row r="69" spans="1:32" ht="90" customHeight="1" thickBot="1">
      <c r="A69" s="160"/>
      <c r="B69" s="319" t="s">
        <v>255</v>
      </c>
      <c r="C69" s="201" t="s">
        <v>21</v>
      </c>
      <c r="D69" s="206" t="s">
        <v>14</v>
      </c>
      <c r="E69" s="207" t="s">
        <v>367</v>
      </c>
      <c r="F69" s="208" t="s">
        <v>261</v>
      </c>
      <c r="G69" s="366" t="s">
        <v>769</v>
      </c>
      <c r="H69" s="320"/>
      <c r="I69" s="320" t="s">
        <v>173</v>
      </c>
      <c r="J69" s="321"/>
      <c r="K69" s="182" t="s">
        <v>839</v>
      </c>
      <c r="L69" s="182"/>
      <c r="M69" s="183"/>
      <c r="N69" s="180" t="s">
        <v>173</v>
      </c>
      <c r="O69" s="184"/>
      <c r="P69" s="326"/>
      <c r="Q69" s="326"/>
      <c r="R69" s="327"/>
      <c r="S69" s="329"/>
      <c r="T69" s="328"/>
      <c r="U69" s="326"/>
      <c r="V69" s="327"/>
      <c r="W69" s="324"/>
      <c r="X69" s="328"/>
      <c r="Y69" s="163"/>
      <c r="Z69" s="200" t="s">
        <v>113</v>
      </c>
      <c r="AA69" s="200" t="s">
        <v>421</v>
      </c>
      <c r="AB69" s="200" t="s">
        <v>117</v>
      </c>
      <c r="AC69" s="200" t="s">
        <v>184</v>
      </c>
      <c r="AD69" s="201" t="s">
        <v>491</v>
      </c>
      <c r="AE69" s="162" t="s">
        <v>626</v>
      </c>
      <c r="AF69" s="310"/>
    </row>
    <row r="70" spans="1:32" ht="130.5" customHeight="1" thickBot="1">
      <c r="A70" s="160"/>
      <c r="B70" s="319" t="s">
        <v>255</v>
      </c>
      <c r="C70" s="201" t="s">
        <v>23</v>
      </c>
      <c r="D70" s="206" t="s">
        <v>14</v>
      </c>
      <c r="E70" s="207" t="s">
        <v>368</v>
      </c>
      <c r="F70" s="208" t="s">
        <v>261</v>
      </c>
      <c r="G70" s="335" t="s">
        <v>722</v>
      </c>
      <c r="H70" s="335"/>
      <c r="I70" s="335" t="s">
        <v>169</v>
      </c>
      <c r="J70" s="336"/>
      <c r="K70" s="185" t="s">
        <v>840</v>
      </c>
      <c r="L70" s="196"/>
      <c r="M70" s="186"/>
      <c r="N70" s="180" t="s">
        <v>169</v>
      </c>
      <c r="O70" s="187"/>
      <c r="P70" s="337"/>
      <c r="Q70" s="351"/>
      <c r="R70" s="338"/>
      <c r="S70" s="340"/>
      <c r="T70" s="339"/>
      <c r="U70" s="337"/>
      <c r="V70" s="338"/>
      <c r="W70" s="324"/>
      <c r="X70" s="339"/>
      <c r="Y70" s="164"/>
      <c r="Z70" s="200" t="s">
        <v>113</v>
      </c>
      <c r="AA70" s="200" t="s">
        <v>421</v>
      </c>
      <c r="AB70" s="200" t="s">
        <v>117</v>
      </c>
      <c r="AC70" s="200" t="s">
        <v>184</v>
      </c>
      <c r="AD70" s="201" t="s">
        <v>492</v>
      </c>
      <c r="AE70" s="162" t="s">
        <v>627</v>
      </c>
      <c r="AF70" s="310"/>
    </row>
    <row r="71" spans="1:32" ht="90" customHeight="1" thickBot="1">
      <c r="A71" s="160"/>
      <c r="B71" s="319" t="s">
        <v>130</v>
      </c>
      <c r="C71" s="201" t="s">
        <v>25</v>
      </c>
      <c r="D71" s="206" t="s">
        <v>369</v>
      </c>
      <c r="E71" s="207" t="s">
        <v>370</v>
      </c>
      <c r="F71" s="208" t="s">
        <v>261</v>
      </c>
      <c r="G71" s="335"/>
      <c r="H71" s="335"/>
      <c r="I71" s="335" t="s">
        <v>173</v>
      </c>
      <c r="J71" s="336"/>
      <c r="K71" s="185" t="s">
        <v>846</v>
      </c>
      <c r="L71" s="196"/>
      <c r="M71" s="186"/>
      <c r="N71" s="180" t="s">
        <v>173</v>
      </c>
      <c r="O71" s="187"/>
      <c r="P71" s="337"/>
      <c r="Q71" s="351"/>
      <c r="R71" s="338"/>
      <c r="S71" s="340"/>
      <c r="T71" s="339"/>
      <c r="U71" s="337"/>
      <c r="V71" s="338"/>
      <c r="W71" s="324"/>
      <c r="X71" s="339"/>
      <c r="Y71" s="164"/>
      <c r="Z71" s="200" t="s">
        <v>113</v>
      </c>
      <c r="AA71" s="200" t="s">
        <v>422</v>
      </c>
      <c r="AB71" s="200" t="s">
        <v>117</v>
      </c>
      <c r="AC71" s="200" t="s">
        <v>184</v>
      </c>
      <c r="AD71" s="201" t="s">
        <v>493</v>
      </c>
      <c r="AE71" s="162" t="s">
        <v>628</v>
      </c>
      <c r="AF71" s="310"/>
    </row>
    <row r="72" spans="1:32" ht="90" customHeight="1" thickBot="1">
      <c r="A72" s="160"/>
      <c r="B72" s="319" t="s">
        <v>130</v>
      </c>
      <c r="C72" s="201" t="s">
        <v>27</v>
      </c>
      <c r="D72" s="206" t="s">
        <v>371</v>
      </c>
      <c r="E72" s="207" t="s">
        <v>372</v>
      </c>
      <c r="F72" s="208" t="s">
        <v>277</v>
      </c>
      <c r="G72" s="335" t="s">
        <v>757</v>
      </c>
      <c r="H72" s="335"/>
      <c r="I72" s="335" t="s">
        <v>168</v>
      </c>
      <c r="J72" s="336"/>
      <c r="K72" s="316" t="s">
        <v>791</v>
      </c>
      <c r="L72" s="194" t="s">
        <v>789</v>
      </c>
      <c r="M72" s="194" t="s">
        <v>789</v>
      </c>
      <c r="N72" s="180" t="s">
        <v>168</v>
      </c>
      <c r="O72" s="187"/>
      <c r="P72" s="337"/>
      <c r="Q72" s="351"/>
      <c r="R72" s="338"/>
      <c r="S72" s="340"/>
      <c r="T72" s="339"/>
      <c r="U72" s="337"/>
      <c r="V72" s="338"/>
      <c r="W72" s="324"/>
      <c r="X72" s="339"/>
      <c r="Y72" s="164"/>
      <c r="Z72" s="200" t="s">
        <v>114</v>
      </c>
      <c r="AA72" s="200" t="s">
        <v>421</v>
      </c>
      <c r="AB72" s="200" t="s">
        <v>117</v>
      </c>
      <c r="AC72" s="200" t="s">
        <v>184</v>
      </c>
      <c r="AD72" s="201" t="s">
        <v>494</v>
      </c>
      <c r="AE72" s="162" t="s">
        <v>629</v>
      </c>
      <c r="AF72" s="309" t="s">
        <v>557</v>
      </c>
    </row>
    <row r="73" spans="1:32" ht="90" customHeight="1" thickBot="1">
      <c r="A73" s="160"/>
      <c r="B73" s="319" t="s">
        <v>139</v>
      </c>
      <c r="C73" s="201" t="s">
        <v>543</v>
      </c>
      <c r="D73" s="206" t="s">
        <v>544</v>
      </c>
      <c r="E73" s="207" t="s">
        <v>547</v>
      </c>
      <c r="F73" s="208"/>
      <c r="G73" s="341">
        <v>0.28699999999999998</v>
      </c>
      <c r="H73" s="342">
        <v>0.98</v>
      </c>
      <c r="I73" s="320" t="s">
        <v>169</v>
      </c>
      <c r="J73" s="321" t="s">
        <v>705</v>
      </c>
      <c r="K73" s="376">
        <v>0.56620000000000004</v>
      </c>
      <c r="L73" s="376">
        <v>0.56620000000000004</v>
      </c>
      <c r="M73" s="194">
        <v>0.98</v>
      </c>
      <c r="N73" s="180" t="s">
        <v>170</v>
      </c>
      <c r="O73" s="184" t="s">
        <v>803</v>
      </c>
      <c r="P73" s="326"/>
      <c r="Q73" s="326"/>
      <c r="R73" s="327"/>
      <c r="S73" s="329"/>
      <c r="T73" s="328"/>
      <c r="U73" s="326"/>
      <c r="V73" s="327"/>
      <c r="W73" s="324"/>
      <c r="X73" s="328"/>
      <c r="Y73" s="161"/>
      <c r="Z73" s="200" t="s">
        <v>113</v>
      </c>
      <c r="AA73" s="200" t="s">
        <v>140</v>
      </c>
      <c r="AB73" s="200" t="s">
        <v>117</v>
      </c>
      <c r="AC73" s="200" t="s">
        <v>183</v>
      </c>
      <c r="AD73" s="201" t="s">
        <v>495</v>
      </c>
      <c r="AE73" s="162" t="s">
        <v>630</v>
      </c>
      <c r="AF73" s="309" t="s">
        <v>557</v>
      </c>
    </row>
    <row r="74" spans="1:32" ht="132" customHeight="1" thickBot="1">
      <c r="A74" s="160"/>
      <c r="B74" s="319" t="s">
        <v>139</v>
      </c>
      <c r="C74" s="201" t="s">
        <v>542</v>
      </c>
      <c r="D74" s="206" t="s">
        <v>545</v>
      </c>
      <c r="E74" s="207" t="s">
        <v>546</v>
      </c>
      <c r="F74" s="208"/>
      <c r="G74" s="341">
        <v>0.25509999999999999</v>
      </c>
      <c r="H74" s="342">
        <v>0.99</v>
      </c>
      <c r="I74" s="320" t="s">
        <v>169</v>
      </c>
      <c r="J74" s="321" t="s">
        <v>704</v>
      </c>
      <c r="K74" s="376">
        <v>0.52690000000000003</v>
      </c>
      <c r="L74" s="376">
        <v>0.52690000000000003</v>
      </c>
      <c r="M74" s="194">
        <v>0.98</v>
      </c>
      <c r="N74" s="180" t="s">
        <v>169</v>
      </c>
      <c r="O74" s="184" t="s">
        <v>804</v>
      </c>
      <c r="P74" s="326"/>
      <c r="Q74" s="326"/>
      <c r="R74" s="327"/>
      <c r="S74" s="329"/>
      <c r="T74" s="328"/>
      <c r="U74" s="326"/>
      <c r="V74" s="327"/>
      <c r="W74" s="324"/>
      <c r="X74" s="328"/>
      <c r="Y74" s="161"/>
      <c r="Z74" s="200" t="s">
        <v>113</v>
      </c>
      <c r="AA74" s="200" t="s">
        <v>140</v>
      </c>
      <c r="AB74" s="200" t="s">
        <v>117</v>
      </c>
      <c r="AC74" s="200" t="s">
        <v>183</v>
      </c>
      <c r="AD74" s="201" t="s">
        <v>495</v>
      </c>
      <c r="AE74" s="162" t="s">
        <v>631</v>
      </c>
      <c r="AF74" s="309" t="s">
        <v>557</v>
      </c>
    </row>
    <row r="75" spans="1:32" ht="90" customHeight="1" thickBot="1">
      <c r="A75" s="160"/>
      <c r="B75" s="319" t="s">
        <v>139</v>
      </c>
      <c r="C75" s="201" t="s">
        <v>548</v>
      </c>
      <c r="D75" s="206" t="s">
        <v>373</v>
      </c>
      <c r="E75" s="207" t="s">
        <v>783</v>
      </c>
      <c r="F75" s="208"/>
      <c r="G75" s="346">
        <v>2220350.39</v>
      </c>
      <c r="H75" s="346">
        <v>2000000</v>
      </c>
      <c r="I75" s="320" t="s">
        <v>169</v>
      </c>
      <c r="J75" s="321" t="s">
        <v>758</v>
      </c>
      <c r="K75" s="377">
        <v>2220063.52</v>
      </c>
      <c r="L75" s="204">
        <v>2220063.52</v>
      </c>
      <c r="M75" s="202">
        <v>2500000</v>
      </c>
      <c r="N75" s="180" t="s">
        <v>169</v>
      </c>
      <c r="O75" s="181"/>
      <c r="P75" s="322"/>
      <c r="Q75" s="322"/>
      <c r="R75" s="323"/>
      <c r="S75" s="324"/>
      <c r="T75" s="325"/>
      <c r="U75" s="322"/>
      <c r="V75" s="323"/>
      <c r="W75" s="324"/>
      <c r="X75" s="325"/>
      <c r="Y75" s="161"/>
      <c r="Z75" s="200" t="s">
        <v>113</v>
      </c>
      <c r="AA75" s="200" t="s">
        <v>140</v>
      </c>
      <c r="AB75" s="200" t="s">
        <v>117</v>
      </c>
      <c r="AC75" s="200" t="s">
        <v>183</v>
      </c>
      <c r="AD75" s="201" t="s">
        <v>496</v>
      </c>
      <c r="AE75" s="162" t="s">
        <v>632</v>
      </c>
      <c r="AF75" s="309" t="s">
        <v>557</v>
      </c>
    </row>
    <row r="76" spans="1:32" ht="102.75" customHeight="1" thickBot="1">
      <c r="A76" s="160"/>
      <c r="B76" s="319" t="s">
        <v>139</v>
      </c>
      <c r="C76" s="201" t="s">
        <v>549</v>
      </c>
      <c r="D76" s="206" t="s">
        <v>373</v>
      </c>
      <c r="E76" s="207" t="s">
        <v>784</v>
      </c>
      <c r="F76" s="208"/>
      <c r="G76" s="346">
        <v>2155042.42</v>
      </c>
      <c r="H76" s="346">
        <v>2000000</v>
      </c>
      <c r="I76" s="320" t="s">
        <v>169</v>
      </c>
      <c r="J76" s="321" t="s">
        <v>758</v>
      </c>
      <c r="K76" s="377">
        <v>2434472.23</v>
      </c>
      <c r="L76" s="204">
        <v>2434472.23</v>
      </c>
      <c r="M76" s="202">
        <v>2000000</v>
      </c>
      <c r="N76" s="180" t="s">
        <v>169</v>
      </c>
      <c r="O76" s="181" t="s">
        <v>805</v>
      </c>
      <c r="P76" s="322"/>
      <c r="Q76" s="322"/>
      <c r="R76" s="323"/>
      <c r="S76" s="324"/>
      <c r="T76" s="325"/>
      <c r="U76" s="322"/>
      <c r="V76" s="323"/>
      <c r="W76" s="324"/>
      <c r="X76" s="325"/>
      <c r="Y76" s="161"/>
      <c r="Z76" s="200" t="s">
        <v>113</v>
      </c>
      <c r="AA76" s="200" t="s">
        <v>140</v>
      </c>
      <c r="AB76" s="200" t="s">
        <v>117</v>
      </c>
      <c r="AC76" s="200" t="s">
        <v>183</v>
      </c>
      <c r="AD76" s="201" t="s">
        <v>496</v>
      </c>
      <c r="AE76" s="162" t="s">
        <v>633</v>
      </c>
      <c r="AF76" s="309" t="s">
        <v>557</v>
      </c>
    </row>
    <row r="77" spans="1:32" ht="90" customHeight="1" thickBot="1">
      <c r="A77" s="160"/>
      <c r="B77" s="319" t="s">
        <v>139</v>
      </c>
      <c r="C77" s="201" t="s">
        <v>550</v>
      </c>
      <c r="D77" s="206" t="s">
        <v>373</v>
      </c>
      <c r="E77" s="207" t="s">
        <v>785</v>
      </c>
      <c r="F77" s="208"/>
      <c r="G77" s="347">
        <v>0</v>
      </c>
      <c r="H77" s="346">
        <v>40000</v>
      </c>
      <c r="I77" s="320" t="s">
        <v>169</v>
      </c>
      <c r="J77" s="321" t="s">
        <v>759</v>
      </c>
      <c r="K77" s="377">
        <v>34598.629999999997</v>
      </c>
      <c r="L77" s="204">
        <v>34598.629999999997</v>
      </c>
      <c r="M77" s="202">
        <v>80000</v>
      </c>
      <c r="N77" s="180" t="s">
        <v>169</v>
      </c>
      <c r="O77" s="181"/>
      <c r="P77" s="322"/>
      <c r="Q77" s="322"/>
      <c r="R77" s="323"/>
      <c r="S77" s="324"/>
      <c r="T77" s="325"/>
      <c r="U77" s="322"/>
      <c r="V77" s="323"/>
      <c r="W77" s="324"/>
      <c r="X77" s="325"/>
      <c r="Y77" s="161"/>
      <c r="Z77" s="200" t="s">
        <v>113</v>
      </c>
      <c r="AA77" s="200" t="s">
        <v>140</v>
      </c>
      <c r="AB77" s="200" t="s">
        <v>117</v>
      </c>
      <c r="AC77" s="200" t="s">
        <v>183</v>
      </c>
      <c r="AD77" s="201" t="s">
        <v>496</v>
      </c>
      <c r="AE77" s="162" t="s">
        <v>634</v>
      </c>
      <c r="AF77" s="309" t="s">
        <v>557</v>
      </c>
    </row>
    <row r="78" spans="1:32" ht="90" customHeight="1" thickBot="1">
      <c r="A78" s="160"/>
      <c r="B78" s="319" t="s">
        <v>139</v>
      </c>
      <c r="C78" s="201" t="s">
        <v>551</v>
      </c>
      <c r="D78" s="206" t="s">
        <v>44</v>
      </c>
      <c r="E78" s="207" t="s">
        <v>553</v>
      </c>
      <c r="F78" s="208"/>
      <c r="G78" s="320" t="s">
        <v>706</v>
      </c>
      <c r="H78" s="320" t="s">
        <v>230</v>
      </c>
      <c r="I78" s="320" t="s">
        <v>173</v>
      </c>
      <c r="J78" s="321" t="s">
        <v>707</v>
      </c>
      <c r="K78" s="378">
        <v>0</v>
      </c>
      <c r="L78" s="378">
        <v>0</v>
      </c>
      <c r="M78" s="194">
        <v>0.99</v>
      </c>
      <c r="N78" s="180" t="s">
        <v>169</v>
      </c>
      <c r="O78" s="184" t="s">
        <v>806</v>
      </c>
      <c r="P78" s="326"/>
      <c r="Q78" s="322"/>
      <c r="R78" s="327"/>
      <c r="S78" s="329"/>
      <c r="T78" s="328"/>
      <c r="U78" s="326"/>
      <c r="V78" s="327"/>
      <c r="W78" s="324"/>
      <c r="X78" s="328"/>
      <c r="Y78" s="161"/>
      <c r="Z78" s="200" t="s">
        <v>113</v>
      </c>
      <c r="AA78" s="200" t="s">
        <v>140</v>
      </c>
      <c r="AB78" s="200" t="s">
        <v>117</v>
      </c>
      <c r="AC78" s="200" t="s">
        <v>183</v>
      </c>
      <c r="AD78" s="201" t="s">
        <v>497</v>
      </c>
      <c r="AE78" s="162" t="s">
        <v>635</v>
      </c>
      <c r="AF78" s="309" t="s">
        <v>557</v>
      </c>
    </row>
    <row r="79" spans="1:32" ht="180" customHeight="1" thickBot="1">
      <c r="A79" s="160"/>
      <c r="B79" s="319" t="s">
        <v>139</v>
      </c>
      <c r="C79" s="201" t="s">
        <v>552</v>
      </c>
      <c r="D79" s="206" t="s">
        <v>44</v>
      </c>
      <c r="E79" s="207" t="s">
        <v>554</v>
      </c>
      <c r="F79" s="208"/>
      <c r="G79" s="342" t="s">
        <v>733</v>
      </c>
      <c r="H79" s="342">
        <v>0.75</v>
      </c>
      <c r="I79" s="320" t="s">
        <v>169</v>
      </c>
      <c r="J79" s="321"/>
      <c r="K79" s="378">
        <v>0.66</v>
      </c>
      <c r="L79" s="378">
        <v>0.68</v>
      </c>
      <c r="M79" s="194">
        <v>0.75</v>
      </c>
      <c r="N79" s="180" t="s">
        <v>169</v>
      </c>
      <c r="O79" s="184" t="s">
        <v>872</v>
      </c>
      <c r="P79" s="326"/>
      <c r="Q79" s="322"/>
      <c r="R79" s="327"/>
      <c r="S79" s="329"/>
      <c r="T79" s="328"/>
      <c r="U79" s="326"/>
      <c r="V79" s="327"/>
      <c r="W79" s="324"/>
      <c r="X79" s="328"/>
      <c r="Y79" s="161"/>
      <c r="Z79" s="200" t="s">
        <v>113</v>
      </c>
      <c r="AA79" s="200" t="s">
        <v>140</v>
      </c>
      <c r="AB79" s="200" t="s">
        <v>117</v>
      </c>
      <c r="AC79" s="200" t="s">
        <v>183</v>
      </c>
      <c r="AD79" s="201" t="s">
        <v>497</v>
      </c>
      <c r="AE79" s="162" t="s">
        <v>636</v>
      </c>
      <c r="AF79" s="309" t="s">
        <v>557</v>
      </c>
    </row>
    <row r="80" spans="1:32" ht="124.5" customHeight="1" thickBot="1">
      <c r="A80" s="160"/>
      <c r="B80" s="319" t="s">
        <v>139</v>
      </c>
      <c r="C80" s="201" t="s">
        <v>28</v>
      </c>
      <c r="D80" s="206" t="s">
        <v>374</v>
      </c>
      <c r="E80" s="207" t="s">
        <v>760</v>
      </c>
      <c r="F80" s="208"/>
      <c r="G80" s="320" t="s">
        <v>734</v>
      </c>
      <c r="H80" s="320" t="s">
        <v>708</v>
      </c>
      <c r="I80" s="320" t="s">
        <v>169</v>
      </c>
      <c r="J80" s="321"/>
      <c r="K80" s="182" t="s">
        <v>807</v>
      </c>
      <c r="L80" s="182" t="s">
        <v>808</v>
      </c>
      <c r="M80" s="183" t="s">
        <v>708</v>
      </c>
      <c r="N80" s="180" t="s">
        <v>169</v>
      </c>
      <c r="O80" s="184"/>
      <c r="P80" s="326"/>
      <c r="Q80" s="322"/>
      <c r="R80" s="327"/>
      <c r="S80" s="329"/>
      <c r="T80" s="328"/>
      <c r="U80" s="326"/>
      <c r="V80" s="327"/>
      <c r="W80" s="324"/>
      <c r="X80" s="328"/>
      <c r="Y80" s="161"/>
      <c r="Z80" s="200" t="s">
        <v>113</v>
      </c>
      <c r="AA80" s="200" t="s">
        <v>140</v>
      </c>
      <c r="AB80" s="200" t="s">
        <v>117</v>
      </c>
      <c r="AC80" s="200" t="s">
        <v>183</v>
      </c>
      <c r="AD80" s="201" t="s">
        <v>498</v>
      </c>
      <c r="AE80" s="162" t="s">
        <v>637</v>
      </c>
      <c r="AF80" s="309" t="s">
        <v>557</v>
      </c>
    </row>
    <row r="81" spans="1:32" ht="96.75" customHeight="1" thickBot="1">
      <c r="A81" s="160"/>
      <c r="B81" s="319" t="s">
        <v>139</v>
      </c>
      <c r="C81" s="201" t="s">
        <v>767</v>
      </c>
      <c r="D81" s="206" t="s">
        <v>556</v>
      </c>
      <c r="E81" s="207" t="s">
        <v>761</v>
      </c>
      <c r="F81" s="208"/>
      <c r="G81" s="342">
        <v>1.4525999999999999</v>
      </c>
      <c r="H81" s="342">
        <v>0.8</v>
      </c>
      <c r="I81" s="320" t="s">
        <v>169</v>
      </c>
      <c r="J81" s="321"/>
      <c r="K81" s="376">
        <v>1.9977</v>
      </c>
      <c r="L81" s="376">
        <v>1.6981999999999999</v>
      </c>
      <c r="M81" s="194">
        <v>1</v>
      </c>
      <c r="N81" s="180" t="s">
        <v>169</v>
      </c>
      <c r="O81" s="184"/>
      <c r="P81" s="326"/>
      <c r="Q81" s="326"/>
      <c r="R81" s="327"/>
      <c r="S81" s="329"/>
      <c r="T81" s="328"/>
      <c r="U81" s="326"/>
      <c r="V81" s="327"/>
      <c r="W81" s="324"/>
      <c r="X81" s="328"/>
      <c r="Y81" s="163"/>
      <c r="Z81" s="200" t="s">
        <v>113</v>
      </c>
      <c r="AA81" s="200" t="s">
        <v>140</v>
      </c>
      <c r="AB81" s="200" t="s">
        <v>117</v>
      </c>
      <c r="AC81" s="200" t="s">
        <v>183</v>
      </c>
      <c r="AD81" s="201" t="s">
        <v>499</v>
      </c>
      <c r="AE81" s="162" t="s">
        <v>638</v>
      </c>
      <c r="AF81" s="309" t="s">
        <v>557</v>
      </c>
    </row>
    <row r="82" spans="1:32" ht="102.75" customHeight="1" thickBot="1">
      <c r="A82" s="160"/>
      <c r="B82" s="319" t="s">
        <v>139</v>
      </c>
      <c r="C82" s="201" t="s">
        <v>766</v>
      </c>
      <c r="D82" s="206" t="s">
        <v>556</v>
      </c>
      <c r="E82" s="207" t="s">
        <v>763</v>
      </c>
      <c r="F82" s="208"/>
      <c r="G82" s="342">
        <v>0.69</v>
      </c>
      <c r="H82" s="342">
        <v>0.7</v>
      </c>
      <c r="I82" s="320" t="s">
        <v>169</v>
      </c>
      <c r="J82" s="321"/>
      <c r="K82" s="376">
        <v>0.74299999999999999</v>
      </c>
      <c r="L82" s="376">
        <v>0.47799999999999998</v>
      </c>
      <c r="M82" s="194">
        <v>0.7</v>
      </c>
      <c r="N82" s="180" t="s">
        <v>169</v>
      </c>
      <c r="O82" s="184" t="s">
        <v>809</v>
      </c>
      <c r="P82" s="326"/>
      <c r="Q82" s="326"/>
      <c r="R82" s="327"/>
      <c r="S82" s="329"/>
      <c r="T82" s="328"/>
      <c r="U82" s="326"/>
      <c r="V82" s="327"/>
      <c r="W82" s="324"/>
      <c r="X82" s="328"/>
      <c r="Y82" s="163"/>
      <c r="Z82" s="200" t="s">
        <v>113</v>
      </c>
      <c r="AA82" s="200" t="s">
        <v>140</v>
      </c>
      <c r="AB82" s="200" t="s">
        <v>117</v>
      </c>
      <c r="AC82" s="200" t="s">
        <v>183</v>
      </c>
      <c r="AD82" s="201" t="s">
        <v>499</v>
      </c>
      <c r="AE82" s="162" t="s">
        <v>639</v>
      </c>
      <c r="AF82" s="309" t="s">
        <v>557</v>
      </c>
    </row>
    <row r="83" spans="1:32" ht="102.75" customHeight="1" thickBot="1">
      <c r="A83" s="160"/>
      <c r="B83" s="319" t="s">
        <v>139</v>
      </c>
      <c r="C83" s="201" t="s">
        <v>555</v>
      </c>
      <c r="D83" s="206" t="s">
        <v>556</v>
      </c>
      <c r="E83" s="207" t="s">
        <v>762</v>
      </c>
      <c r="F83" s="208"/>
      <c r="G83" s="342">
        <v>0.91</v>
      </c>
      <c r="H83" s="342">
        <v>0.9</v>
      </c>
      <c r="I83" s="320" t="s">
        <v>169</v>
      </c>
      <c r="J83" s="321"/>
      <c r="K83" s="376">
        <v>0.92400000000000004</v>
      </c>
      <c r="L83" s="376">
        <v>0.91700000000000004</v>
      </c>
      <c r="M83" s="194">
        <v>0.9</v>
      </c>
      <c r="N83" s="180" t="s">
        <v>169</v>
      </c>
      <c r="O83" s="184"/>
      <c r="P83" s="326"/>
      <c r="Q83" s="326"/>
      <c r="R83" s="327"/>
      <c r="S83" s="329"/>
      <c r="T83" s="328"/>
      <c r="U83" s="326"/>
      <c r="V83" s="327"/>
      <c r="W83" s="324"/>
      <c r="X83" s="328"/>
      <c r="Y83" s="163"/>
      <c r="Z83" s="200" t="s">
        <v>113</v>
      </c>
      <c r="AA83" s="200" t="s">
        <v>140</v>
      </c>
      <c r="AB83" s="200" t="s">
        <v>117</v>
      </c>
      <c r="AC83" s="200" t="s">
        <v>183</v>
      </c>
      <c r="AD83" s="201" t="s">
        <v>499</v>
      </c>
      <c r="AE83" s="162" t="s">
        <v>639</v>
      </c>
      <c r="AF83" s="309" t="s">
        <v>557</v>
      </c>
    </row>
    <row r="84" spans="1:32" ht="90" customHeight="1" thickBot="1">
      <c r="A84" s="160"/>
      <c r="B84" s="319" t="s">
        <v>139</v>
      </c>
      <c r="C84" s="201" t="s">
        <v>29</v>
      </c>
      <c r="D84" s="206" t="s">
        <v>375</v>
      </c>
      <c r="E84" s="207" t="s">
        <v>376</v>
      </c>
      <c r="F84" s="208" t="s">
        <v>377</v>
      </c>
      <c r="G84" s="320" t="s">
        <v>709</v>
      </c>
      <c r="H84" s="320" t="s">
        <v>230</v>
      </c>
      <c r="I84" s="320" t="s">
        <v>160</v>
      </c>
      <c r="J84" s="321"/>
      <c r="K84" s="182"/>
      <c r="L84" s="182"/>
      <c r="M84" s="183"/>
      <c r="N84" s="180" t="s">
        <v>160</v>
      </c>
      <c r="O84" s="184"/>
      <c r="P84" s="326"/>
      <c r="Q84" s="322"/>
      <c r="R84" s="327"/>
      <c r="S84" s="329"/>
      <c r="T84" s="328"/>
      <c r="U84" s="326"/>
      <c r="V84" s="327"/>
      <c r="W84" s="324"/>
      <c r="X84" s="328"/>
      <c r="Y84" s="163"/>
      <c r="Z84" s="200" t="s">
        <v>113</v>
      </c>
      <c r="AA84" s="200" t="s">
        <v>140</v>
      </c>
      <c r="AB84" s="200" t="s">
        <v>117</v>
      </c>
      <c r="AC84" s="200" t="s">
        <v>183</v>
      </c>
      <c r="AD84" s="201" t="s">
        <v>500</v>
      </c>
      <c r="AE84" s="162" t="s">
        <v>640</v>
      </c>
      <c r="AF84" s="309" t="s">
        <v>557</v>
      </c>
    </row>
    <row r="85" spans="1:32" ht="90" customHeight="1" thickBot="1">
      <c r="A85" s="160"/>
      <c r="B85" s="319" t="s">
        <v>139</v>
      </c>
      <c r="C85" s="201" t="s">
        <v>30</v>
      </c>
      <c r="D85" s="206" t="s">
        <v>378</v>
      </c>
      <c r="E85" s="207" t="s">
        <v>379</v>
      </c>
      <c r="F85" s="208" t="s">
        <v>261</v>
      </c>
      <c r="G85" s="320" t="s">
        <v>764</v>
      </c>
      <c r="H85" s="320"/>
      <c r="I85" s="320" t="s">
        <v>167</v>
      </c>
      <c r="J85" s="321" t="s">
        <v>710</v>
      </c>
      <c r="K85" s="316" t="s">
        <v>790</v>
      </c>
      <c r="L85" s="194" t="s">
        <v>789</v>
      </c>
      <c r="M85" s="194" t="s">
        <v>789</v>
      </c>
      <c r="N85" s="180" t="s">
        <v>167</v>
      </c>
      <c r="O85" s="181"/>
      <c r="P85" s="322"/>
      <c r="Q85" s="322"/>
      <c r="R85" s="323"/>
      <c r="S85" s="324"/>
      <c r="T85" s="325"/>
      <c r="U85" s="322"/>
      <c r="V85" s="323"/>
      <c r="W85" s="324"/>
      <c r="X85" s="325"/>
      <c r="Y85" s="161"/>
      <c r="Z85" s="200" t="s">
        <v>113</v>
      </c>
      <c r="AA85" s="200" t="s">
        <v>140</v>
      </c>
      <c r="AB85" s="200" t="s">
        <v>117</v>
      </c>
      <c r="AC85" s="200" t="s">
        <v>183</v>
      </c>
      <c r="AD85" s="201" t="s">
        <v>501</v>
      </c>
      <c r="AE85" s="162" t="s">
        <v>641</v>
      </c>
      <c r="AF85" s="309" t="s">
        <v>557</v>
      </c>
    </row>
    <row r="86" spans="1:32" ht="90" customHeight="1" thickBot="1">
      <c r="A86" s="160"/>
      <c r="B86" s="319" t="s">
        <v>135</v>
      </c>
      <c r="C86" s="201" t="s">
        <v>31</v>
      </c>
      <c r="D86" s="206" t="s">
        <v>37</v>
      </c>
      <c r="E86" s="207" t="s">
        <v>380</v>
      </c>
      <c r="F86" s="208" t="s">
        <v>261</v>
      </c>
      <c r="G86" s="320" t="s">
        <v>697</v>
      </c>
      <c r="H86" s="320"/>
      <c r="I86" s="320" t="s">
        <v>169</v>
      </c>
      <c r="J86" s="321"/>
      <c r="K86" s="178" t="s">
        <v>800</v>
      </c>
      <c r="L86" s="178"/>
      <c r="M86" s="179"/>
      <c r="N86" s="180" t="s">
        <v>169</v>
      </c>
      <c r="O86" s="181"/>
      <c r="P86" s="322"/>
      <c r="Q86" s="322"/>
      <c r="R86" s="323"/>
      <c r="S86" s="324"/>
      <c r="T86" s="325"/>
      <c r="U86" s="322"/>
      <c r="V86" s="323"/>
      <c r="W86" s="324"/>
      <c r="X86" s="325"/>
      <c r="Y86" s="161"/>
      <c r="Z86" s="200" t="s">
        <v>113</v>
      </c>
      <c r="AA86" s="200" t="s">
        <v>110</v>
      </c>
      <c r="AB86" s="200" t="s">
        <v>117</v>
      </c>
      <c r="AC86" s="200" t="s">
        <v>183</v>
      </c>
      <c r="AD86" s="201" t="s">
        <v>502</v>
      </c>
      <c r="AE86" s="162" t="s">
        <v>642</v>
      </c>
      <c r="AF86" s="309" t="s">
        <v>557</v>
      </c>
    </row>
    <row r="87" spans="1:32" ht="90" customHeight="1" thickBot="1">
      <c r="A87" s="160"/>
      <c r="B87" s="319" t="s">
        <v>135</v>
      </c>
      <c r="C87" s="201" t="s">
        <v>33</v>
      </c>
      <c r="D87" s="206" t="s">
        <v>39</v>
      </c>
      <c r="E87" s="207" t="s">
        <v>381</v>
      </c>
      <c r="F87" s="208" t="s">
        <v>261</v>
      </c>
      <c r="G87" s="320"/>
      <c r="H87" s="320"/>
      <c r="I87" s="320" t="s">
        <v>173</v>
      </c>
      <c r="J87" s="321"/>
      <c r="K87" s="182" t="s">
        <v>801</v>
      </c>
      <c r="L87" s="182"/>
      <c r="M87" s="183"/>
      <c r="N87" s="180" t="s">
        <v>169</v>
      </c>
      <c r="O87" s="184"/>
      <c r="P87" s="326"/>
      <c r="Q87" s="326"/>
      <c r="R87" s="327"/>
      <c r="S87" s="329"/>
      <c r="T87" s="328"/>
      <c r="U87" s="326"/>
      <c r="V87" s="327"/>
      <c r="W87" s="324"/>
      <c r="X87" s="328"/>
      <c r="Y87" s="163"/>
      <c r="Z87" s="200" t="s">
        <v>113</v>
      </c>
      <c r="AA87" s="200" t="s">
        <v>110</v>
      </c>
      <c r="AB87" s="200" t="s">
        <v>117</v>
      </c>
      <c r="AC87" s="200" t="s">
        <v>183</v>
      </c>
      <c r="AD87" s="201" t="s">
        <v>503</v>
      </c>
      <c r="AE87" s="162" t="s">
        <v>643</v>
      </c>
      <c r="AF87" s="309" t="s">
        <v>557</v>
      </c>
    </row>
    <row r="88" spans="1:32" ht="90" customHeight="1" thickBot="1">
      <c r="A88" s="160"/>
      <c r="B88" s="319" t="s">
        <v>135</v>
      </c>
      <c r="C88" s="201" t="s">
        <v>34</v>
      </c>
      <c r="D88" s="206" t="s">
        <v>382</v>
      </c>
      <c r="E88" s="207" t="s">
        <v>383</v>
      </c>
      <c r="F88" s="208" t="s">
        <v>357</v>
      </c>
      <c r="G88" s="320" t="s">
        <v>673</v>
      </c>
      <c r="H88" s="320"/>
      <c r="I88" s="320" t="s">
        <v>160</v>
      </c>
      <c r="J88" s="321"/>
      <c r="K88" s="182"/>
      <c r="L88" s="182"/>
      <c r="M88" s="183"/>
      <c r="N88" s="180" t="s">
        <v>160</v>
      </c>
      <c r="O88" s="184"/>
      <c r="P88" s="326"/>
      <c r="Q88" s="326"/>
      <c r="R88" s="327"/>
      <c r="S88" s="329"/>
      <c r="T88" s="328"/>
      <c r="U88" s="326"/>
      <c r="V88" s="327"/>
      <c r="W88" s="324"/>
      <c r="X88" s="328"/>
      <c r="Y88" s="161"/>
      <c r="Z88" s="200" t="s">
        <v>113</v>
      </c>
      <c r="AA88" s="200" t="s">
        <v>110</v>
      </c>
      <c r="AB88" s="200" t="s">
        <v>117</v>
      </c>
      <c r="AC88" s="200" t="s">
        <v>183</v>
      </c>
      <c r="AD88" s="201" t="s">
        <v>504</v>
      </c>
      <c r="AE88" s="162" t="s">
        <v>644</v>
      </c>
      <c r="AF88" s="309" t="s">
        <v>557</v>
      </c>
    </row>
    <row r="89" spans="1:32" ht="132.75" customHeight="1" thickBot="1">
      <c r="A89" s="160"/>
      <c r="B89" s="319" t="s">
        <v>135</v>
      </c>
      <c r="C89" s="201" t="s">
        <v>35</v>
      </c>
      <c r="D89" s="206" t="s">
        <v>382</v>
      </c>
      <c r="E89" s="207" t="s">
        <v>384</v>
      </c>
      <c r="F89" s="208" t="s">
        <v>339</v>
      </c>
      <c r="G89" s="320" t="s">
        <v>674</v>
      </c>
      <c r="H89" s="320"/>
      <c r="I89" s="320" t="s">
        <v>169</v>
      </c>
      <c r="J89" s="321"/>
      <c r="K89" s="182" t="s">
        <v>873</v>
      </c>
      <c r="L89" s="205"/>
      <c r="M89" s="199"/>
      <c r="N89" s="180" t="s">
        <v>170</v>
      </c>
      <c r="O89" s="184"/>
      <c r="P89" s="326"/>
      <c r="Q89" s="369"/>
      <c r="R89" s="327"/>
      <c r="S89" s="329"/>
      <c r="T89" s="328"/>
      <c r="U89" s="326"/>
      <c r="V89" s="368"/>
      <c r="W89" s="324"/>
      <c r="X89" s="328"/>
      <c r="Y89" s="163"/>
      <c r="Z89" s="200" t="s">
        <v>113</v>
      </c>
      <c r="AA89" s="200" t="s">
        <v>110</v>
      </c>
      <c r="AB89" s="200" t="s">
        <v>117</v>
      </c>
      <c r="AC89" s="200" t="s">
        <v>183</v>
      </c>
      <c r="AD89" s="201" t="s">
        <v>505</v>
      </c>
      <c r="AE89" s="162" t="s">
        <v>645</v>
      </c>
      <c r="AF89" s="310"/>
    </row>
    <row r="90" spans="1:32" ht="90" customHeight="1" thickBot="1">
      <c r="A90" s="160"/>
      <c r="B90" s="319" t="s">
        <v>135</v>
      </c>
      <c r="C90" s="201" t="s">
        <v>36</v>
      </c>
      <c r="D90" s="206" t="s">
        <v>42</v>
      </c>
      <c r="E90" s="207" t="s">
        <v>385</v>
      </c>
      <c r="F90" s="208" t="s">
        <v>261</v>
      </c>
      <c r="G90" s="341" t="s">
        <v>698</v>
      </c>
      <c r="H90" s="367">
        <v>99.97</v>
      </c>
      <c r="I90" s="320" t="s">
        <v>169</v>
      </c>
      <c r="J90" s="321"/>
      <c r="K90" s="182" t="s">
        <v>698</v>
      </c>
      <c r="L90" s="182"/>
      <c r="M90" s="183"/>
      <c r="N90" s="180" t="s">
        <v>169</v>
      </c>
      <c r="O90" s="184"/>
      <c r="P90" s="326"/>
      <c r="Q90" s="326"/>
      <c r="R90" s="327"/>
      <c r="S90" s="329"/>
      <c r="T90" s="328"/>
      <c r="U90" s="326"/>
      <c r="V90" s="327"/>
      <c r="W90" s="324"/>
      <c r="X90" s="328"/>
      <c r="Y90" s="163"/>
      <c r="Z90" s="200" t="s">
        <v>113</v>
      </c>
      <c r="AA90" s="200" t="s">
        <v>110</v>
      </c>
      <c r="AB90" s="200" t="s">
        <v>117</v>
      </c>
      <c r="AC90" s="200" t="s">
        <v>183</v>
      </c>
      <c r="AD90" s="201" t="s">
        <v>506</v>
      </c>
      <c r="AE90" s="162" t="s">
        <v>646</v>
      </c>
      <c r="AF90" s="309" t="s">
        <v>557</v>
      </c>
    </row>
    <row r="91" spans="1:32" ht="90" customHeight="1" thickBot="1">
      <c r="A91" s="160"/>
      <c r="B91" s="319" t="s">
        <v>135</v>
      </c>
      <c r="C91" s="201" t="s">
        <v>38</v>
      </c>
      <c r="D91" s="206" t="s">
        <v>256</v>
      </c>
      <c r="E91" s="207" t="s">
        <v>43</v>
      </c>
      <c r="F91" s="208"/>
      <c r="G91" s="320" t="s">
        <v>675</v>
      </c>
      <c r="H91" s="320"/>
      <c r="I91" s="320" t="s">
        <v>173</v>
      </c>
      <c r="J91" s="321"/>
      <c r="K91" s="320" t="s">
        <v>860</v>
      </c>
      <c r="L91" s="182"/>
      <c r="M91" s="183"/>
      <c r="N91" s="180" t="s">
        <v>173</v>
      </c>
      <c r="O91" s="184"/>
      <c r="P91" s="326"/>
      <c r="Q91" s="326"/>
      <c r="R91" s="327"/>
      <c r="S91" s="329"/>
      <c r="T91" s="328"/>
      <c r="U91" s="326"/>
      <c r="V91" s="327"/>
      <c r="W91" s="324"/>
      <c r="X91" s="328"/>
      <c r="Y91" s="163"/>
      <c r="Z91" s="200" t="s">
        <v>113</v>
      </c>
      <c r="AA91" s="200" t="s">
        <v>110</v>
      </c>
      <c r="AB91" s="200" t="s">
        <v>117</v>
      </c>
      <c r="AC91" s="200" t="s">
        <v>183</v>
      </c>
      <c r="AD91" s="201" t="s">
        <v>507</v>
      </c>
      <c r="AE91" s="162" t="s">
        <v>647</v>
      </c>
      <c r="AF91" s="309"/>
    </row>
    <row r="92" spans="1:32" ht="90" customHeight="1" thickBot="1">
      <c r="A92" s="160"/>
      <c r="B92" s="319" t="s">
        <v>130</v>
      </c>
      <c r="C92" s="201" t="s">
        <v>386</v>
      </c>
      <c r="D92" s="206" t="s">
        <v>387</v>
      </c>
      <c r="E92" s="207" t="s">
        <v>388</v>
      </c>
      <c r="F92" s="208"/>
      <c r="G92" s="330" t="s">
        <v>721</v>
      </c>
      <c r="H92" s="320"/>
      <c r="I92" s="320" t="s">
        <v>169</v>
      </c>
      <c r="J92" s="321"/>
      <c r="K92" s="330" t="s">
        <v>847</v>
      </c>
      <c r="L92" s="182"/>
      <c r="M92" s="183"/>
      <c r="N92" s="180" t="s">
        <v>169</v>
      </c>
      <c r="O92" s="184"/>
      <c r="P92" s="326"/>
      <c r="Q92" s="326"/>
      <c r="R92" s="327"/>
      <c r="S92" s="324"/>
      <c r="T92" s="328"/>
      <c r="U92" s="326"/>
      <c r="V92" s="327"/>
      <c r="W92" s="324"/>
      <c r="X92" s="328"/>
      <c r="Y92" s="163"/>
      <c r="Z92" s="200" t="s">
        <v>115</v>
      </c>
      <c r="AA92" s="200" t="s">
        <v>131</v>
      </c>
      <c r="AB92" s="200" t="s">
        <v>117</v>
      </c>
      <c r="AC92" s="200" t="s">
        <v>215</v>
      </c>
      <c r="AD92" s="201" t="s">
        <v>508</v>
      </c>
      <c r="AE92" s="162" t="s">
        <v>648</v>
      </c>
      <c r="AF92" s="310"/>
    </row>
    <row r="93" spans="1:32" ht="90" customHeight="1" thickBot="1">
      <c r="A93" s="160"/>
      <c r="B93" s="319" t="s">
        <v>130</v>
      </c>
      <c r="C93" s="201" t="s">
        <v>40</v>
      </c>
      <c r="D93" s="206" t="s">
        <v>389</v>
      </c>
      <c r="E93" s="207" t="s">
        <v>390</v>
      </c>
      <c r="F93" s="208" t="s">
        <v>359</v>
      </c>
      <c r="G93" s="320"/>
      <c r="H93" s="320"/>
      <c r="I93" s="320" t="s">
        <v>173</v>
      </c>
      <c r="J93" s="321"/>
      <c r="K93" s="182"/>
      <c r="L93" s="182"/>
      <c r="M93" s="183"/>
      <c r="N93" s="180" t="s">
        <v>173</v>
      </c>
      <c r="O93" s="184"/>
      <c r="P93" s="326"/>
      <c r="Q93" s="326"/>
      <c r="R93" s="327"/>
      <c r="S93" s="329"/>
      <c r="T93" s="328"/>
      <c r="U93" s="326"/>
      <c r="V93" s="327"/>
      <c r="W93" s="324"/>
      <c r="X93" s="328"/>
      <c r="Y93" s="163"/>
      <c r="Z93" s="200" t="s">
        <v>115</v>
      </c>
      <c r="AA93" s="200" t="s">
        <v>131</v>
      </c>
      <c r="AB93" s="200" t="s">
        <v>117</v>
      </c>
      <c r="AC93" s="200" t="s">
        <v>215</v>
      </c>
      <c r="AD93" s="201" t="s">
        <v>509</v>
      </c>
      <c r="AE93" s="162" t="s">
        <v>649</v>
      </c>
      <c r="AF93" s="309" t="s">
        <v>557</v>
      </c>
    </row>
    <row r="94" spans="1:32" ht="127.5" customHeight="1" thickBot="1">
      <c r="A94" s="160"/>
      <c r="B94" s="319" t="s">
        <v>130</v>
      </c>
      <c r="C94" s="201" t="s">
        <v>41</v>
      </c>
      <c r="D94" s="206" t="s">
        <v>391</v>
      </c>
      <c r="E94" s="207" t="s">
        <v>392</v>
      </c>
      <c r="F94" s="208" t="s">
        <v>339</v>
      </c>
      <c r="G94" s="320" t="s">
        <v>765</v>
      </c>
      <c r="H94" s="320"/>
      <c r="I94" s="320" t="s">
        <v>167</v>
      </c>
      <c r="J94" s="321"/>
      <c r="K94" s="316" t="s">
        <v>790</v>
      </c>
      <c r="L94" s="194" t="s">
        <v>789</v>
      </c>
      <c r="M94" s="194" t="s">
        <v>789</v>
      </c>
      <c r="N94" s="180" t="s">
        <v>167</v>
      </c>
      <c r="O94" s="184"/>
      <c r="P94" s="326"/>
      <c r="Q94" s="326"/>
      <c r="R94" s="327"/>
      <c r="S94" s="329"/>
      <c r="T94" s="328"/>
      <c r="U94" s="326"/>
      <c r="V94" s="327"/>
      <c r="W94" s="324"/>
      <c r="X94" s="328"/>
      <c r="Y94" s="161"/>
      <c r="Z94" s="200" t="s">
        <v>115</v>
      </c>
      <c r="AA94" s="200" t="s">
        <v>131</v>
      </c>
      <c r="AB94" s="200" t="s">
        <v>117</v>
      </c>
      <c r="AC94" s="200" t="s">
        <v>215</v>
      </c>
      <c r="AD94" s="201" t="s">
        <v>510</v>
      </c>
      <c r="AE94" s="162" t="s">
        <v>650</v>
      </c>
      <c r="AF94" s="309" t="s">
        <v>557</v>
      </c>
    </row>
    <row r="95" spans="1:32" ht="90" customHeight="1" thickBot="1">
      <c r="A95" s="160"/>
      <c r="B95" s="319" t="s">
        <v>137</v>
      </c>
      <c r="C95" s="201" t="s">
        <v>777</v>
      </c>
      <c r="D95" s="206" t="s">
        <v>393</v>
      </c>
      <c r="E95" s="207" t="s">
        <v>779</v>
      </c>
      <c r="F95" s="208" t="s">
        <v>377</v>
      </c>
      <c r="G95" s="320" t="s">
        <v>743</v>
      </c>
      <c r="H95" s="320"/>
      <c r="I95" s="320" t="s">
        <v>171</v>
      </c>
      <c r="J95" s="321"/>
      <c r="K95" s="182"/>
      <c r="L95" s="182"/>
      <c r="M95" s="183"/>
      <c r="N95" s="180" t="s">
        <v>171</v>
      </c>
      <c r="O95" s="184"/>
      <c r="P95" s="326"/>
      <c r="Q95" s="326"/>
      <c r="R95" s="327"/>
      <c r="S95" s="324"/>
      <c r="T95" s="328"/>
      <c r="U95" s="326"/>
      <c r="V95" s="327"/>
      <c r="W95" s="324"/>
      <c r="X95" s="328"/>
      <c r="Y95" s="163"/>
      <c r="Z95" s="200" t="s">
        <v>115</v>
      </c>
      <c r="AA95" s="200" t="s">
        <v>136</v>
      </c>
      <c r="AB95" s="200" t="s">
        <v>117</v>
      </c>
      <c r="AC95" s="200" t="s">
        <v>215</v>
      </c>
      <c r="AD95" s="201" t="s">
        <v>511</v>
      </c>
      <c r="AE95" s="162" t="s">
        <v>651</v>
      </c>
      <c r="AF95" s="309" t="s">
        <v>557</v>
      </c>
    </row>
    <row r="96" spans="1:32" ht="115.5" customHeight="1" thickBot="1">
      <c r="A96" s="160"/>
      <c r="B96" s="319" t="s">
        <v>137</v>
      </c>
      <c r="C96" s="201" t="s">
        <v>778</v>
      </c>
      <c r="D96" s="206" t="s">
        <v>393</v>
      </c>
      <c r="E96" s="207" t="s">
        <v>780</v>
      </c>
      <c r="F96" s="208" t="s">
        <v>261</v>
      </c>
      <c r="G96" s="320"/>
      <c r="H96" s="320"/>
      <c r="I96" s="320" t="s">
        <v>173</v>
      </c>
      <c r="J96" s="321"/>
      <c r="K96" s="182" t="s">
        <v>861</v>
      </c>
      <c r="L96" s="182"/>
      <c r="M96" s="183"/>
      <c r="N96" s="180" t="s">
        <v>173</v>
      </c>
      <c r="O96" s="184"/>
      <c r="P96" s="326"/>
      <c r="Q96" s="326"/>
      <c r="R96" s="327"/>
      <c r="S96" s="324"/>
      <c r="T96" s="328"/>
      <c r="U96" s="326"/>
      <c r="V96" s="327"/>
      <c r="W96" s="324"/>
      <c r="X96" s="328"/>
      <c r="Y96" s="163"/>
      <c r="Z96" s="200" t="s">
        <v>115</v>
      </c>
      <c r="AA96" s="200" t="s">
        <v>136</v>
      </c>
      <c r="AB96" s="200" t="s">
        <v>117</v>
      </c>
      <c r="AC96" s="200" t="s">
        <v>215</v>
      </c>
      <c r="AD96" s="201" t="s">
        <v>511</v>
      </c>
      <c r="AE96" s="162" t="s">
        <v>651</v>
      </c>
      <c r="AF96" s="309" t="s">
        <v>557</v>
      </c>
    </row>
    <row r="97" spans="1:32" ht="111.75" customHeight="1" thickBot="1">
      <c r="A97" s="160"/>
      <c r="B97" s="319" t="s">
        <v>137</v>
      </c>
      <c r="C97" s="201" t="s">
        <v>138</v>
      </c>
      <c r="D97" s="206" t="s">
        <v>393</v>
      </c>
      <c r="E97" s="207" t="s">
        <v>740</v>
      </c>
      <c r="F97" s="208" t="s">
        <v>261</v>
      </c>
      <c r="G97" s="320" t="s">
        <v>716</v>
      </c>
      <c r="H97" s="320"/>
      <c r="I97" s="320" t="s">
        <v>170</v>
      </c>
      <c r="J97" s="321"/>
      <c r="K97" s="182" t="s">
        <v>802</v>
      </c>
      <c r="L97" s="182"/>
      <c r="M97" s="183"/>
      <c r="N97" s="180" t="s">
        <v>173</v>
      </c>
      <c r="O97" s="184"/>
      <c r="P97" s="326"/>
      <c r="Q97" s="326"/>
      <c r="R97" s="327"/>
      <c r="S97" s="329"/>
      <c r="T97" s="328"/>
      <c r="U97" s="326"/>
      <c r="V97" s="327"/>
      <c r="W97" s="324"/>
      <c r="X97" s="328"/>
      <c r="Y97" s="161"/>
      <c r="Z97" s="200" t="s">
        <v>115</v>
      </c>
      <c r="AA97" s="200" t="s">
        <v>136</v>
      </c>
      <c r="AB97" s="200" t="s">
        <v>117</v>
      </c>
      <c r="AC97" s="200" t="s">
        <v>215</v>
      </c>
      <c r="AD97" s="201" t="s">
        <v>512</v>
      </c>
      <c r="AE97" s="162" t="s">
        <v>652</v>
      </c>
      <c r="AF97" s="309" t="s">
        <v>557</v>
      </c>
    </row>
    <row r="98" spans="1:32" ht="90" customHeight="1" thickBot="1">
      <c r="A98" s="160"/>
      <c r="B98" s="319" t="s">
        <v>133</v>
      </c>
      <c r="C98" s="201" t="s">
        <v>394</v>
      </c>
      <c r="D98" s="206" t="s">
        <v>395</v>
      </c>
      <c r="E98" s="207" t="s">
        <v>396</v>
      </c>
      <c r="F98" s="208" t="s">
        <v>261</v>
      </c>
      <c r="G98" s="335" t="s">
        <v>696</v>
      </c>
      <c r="H98" s="335"/>
      <c r="I98" s="335" t="s">
        <v>169</v>
      </c>
      <c r="J98" s="336"/>
      <c r="K98" s="189" t="s">
        <v>827</v>
      </c>
      <c r="L98" s="189"/>
      <c r="M98" s="190"/>
      <c r="N98" s="180" t="s">
        <v>169</v>
      </c>
      <c r="O98" s="191"/>
      <c r="P98" s="370"/>
      <c r="Q98" s="370"/>
      <c r="R98" s="371"/>
      <c r="S98" s="373"/>
      <c r="T98" s="372"/>
      <c r="U98" s="334"/>
      <c r="V98" s="333"/>
      <c r="W98" s="324"/>
      <c r="X98" s="372"/>
      <c r="Y98" s="166"/>
      <c r="Z98" s="200" t="s">
        <v>115</v>
      </c>
      <c r="AA98" s="200" t="s">
        <v>418</v>
      </c>
      <c r="AB98" s="200" t="s">
        <v>117</v>
      </c>
      <c r="AC98" s="200" t="s">
        <v>215</v>
      </c>
      <c r="AD98" s="201" t="s">
        <v>513</v>
      </c>
      <c r="AE98" s="162" t="s">
        <v>653</v>
      </c>
      <c r="AF98" s="310"/>
    </row>
    <row r="99" spans="1:32" ht="90" customHeight="1" thickBot="1">
      <c r="A99" s="160"/>
      <c r="B99" s="319" t="s">
        <v>133</v>
      </c>
      <c r="C99" s="201" t="s">
        <v>397</v>
      </c>
      <c r="D99" s="206" t="s">
        <v>398</v>
      </c>
      <c r="E99" s="207" t="s">
        <v>741</v>
      </c>
      <c r="F99" s="208" t="s">
        <v>261</v>
      </c>
      <c r="G99" s="335"/>
      <c r="H99" s="335"/>
      <c r="I99" s="335" t="s">
        <v>173</v>
      </c>
      <c r="J99" s="336"/>
      <c r="K99" s="189"/>
      <c r="L99" s="189"/>
      <c r="M99" s="190"/>
      <c r="N99" s="180" t="s">
        <v>173</v>
      </c>
      <c r="O99" s="191"/>
      <c r="P99" s="370"/>
      <c r="Q99" s="370"/>
      <c r="R99" s="371"/>
      <c r="S99" s="373"/>
      <c r="T99" s="372"/>
      <c r="U99" s="334"/>
      <c r="V99" s="333"/>
      <c r="W99" s="324"/>
      <c r="X99" s="372"/>
      <c r="Y99" s="164"/>
      <c r="Z99" s="200" t="s">
        <v>115</v>
      </c>
      <c r="AA99" s="200" t="s">
        <v>418</v>
      </c>
      <c r="AB99" s="200" t="s">
        <v>117</v>
      </c>
      <c r="AC99" s="200" t="s">
        <v>215</v>
      </c>
      <c r="AD99" s="201" t="s">
        <v>514</v>
      </c>
      <c r="AE99" s="162" t="s">
        <v>654</v>
      </c>
      <c r="AF99" s="310"/>
    </row>
    <row r="100" spans="1:32" ht="151.5" customHeight="1" thickBot="1">
      <c r="A100" s="160"/>
      <c r="B100" s="319" t="s">
        <v>151</v>
      </c>
      <c r="C100" s="201" t="s">
        <v>399</v>
      </c>
      <c r="D100" s="206" t="s">
        <v>400</v>
      </c>
      <c r="E100" s="207" t="s">
        <v>401</v>
      </c>
      <c r="F100" s="208" t="s">
        <v>261</v>
      </c>
      <c r="G100" s="335" t="s">
        <v>692</v>
      </c>
      <c r="H100" s="335"/>
      <c r="I100" s="335" t="s">
        <v>173</v>
      </c>
      <c r="J100" s="336"/>
      <c r="K100" s="189" t="s">
        <v>882</v>
      </c>
      <c r="L100" s="189"/>
      <c r="M100" s="190"/>
      <c r="N100" s="180" t="s">
        <v>173</v>
      </c>
      <c r="O100" s="191"/>
      <c r="P100" s="370"/>
      <c r="Q100" s="370"/>
      <c r="R100" s="371"/>
      <c r="S100" s="373"/>
      <c r="T100" s="372"/>
      <c r="U100" s="334"/>
      <c r="V100" s="333"/>
      <c r="W100" s="324"/>
      <c r="X100" s="372"/>
      <c r="Y100" s="164"/>
      <c r="Z100" s="200" t="s">
        <v>115</v>
      </c>
      <c r="AA100" s="200" t="s">
        <v>152</v>
      </c>
      <c r="AB100" s="200" t="s">
        <v>117</v>
      </c>
      <c r="AC100" s="200" t="s">
        <v>215</v>
      </c>
      <c r="AD100" s="201" t="s">
        <v>515</v>
      </c>
      <c r="AE100" s="162" t="s">
        <v>655</v>
      </c>
      <c r="AF100" s="309" t="s">
        <v>557</v>
      </c>
    </row>
    <row r="101" spans="1:32" ht="90" customHeight="1" thickBot="1">
      <c r="A101" s="160"/>
      <c r="B101" s="319" t="s">
        <v>151</v>
      </c>
      <c r="C101" s="201" t="s">
        <v>402</v>
      </c>
      <c r="D101" s="206" t="s">
        <v>32</v>
      </c>
      <c r="E101" s="207" t="s">
        <v>403</v>
      </c>
      <c r="F101" s="208" t="s">
        <v>277</v>
      </c>
      <c r="G101" s="335" t="s">
        <v>691</v>
      </c>
      <c r="H101" s="335"/>
      <c r="I101" s="320" t="s">
        <v>170</v>
      </c>
      <c r="J101" s="336"/>
      <c r="K101" s="189" t="s">
        <v>883</v>
      </c>
      <c r="L101" s="189"/>
      <c r="M101" s="190"/>
      <c r="N101" s="180" t="s">
        <v>169</v>
      </c>
      <c r="O101" s="184"/>
      <c r="P101" s="370"/>
      <c r="Q101" s="370"/>
      <c r="R101" s="371"/>
      <c r="S101" s="373"/>
      <c r="T101" s="372"/>
      <c r="U101" s="334"/>
      <c r="V101" s="333"/>
      <c r="W101" s="324"/>
      <c r="X101" s="372"/>
      <c r="Y101" s="164"/>
      <c r="Z101" s="200" t="s">
        <v>115</v>
      </c>
      <c r="AA101" s="200" t="s">
        <v>152</v>
      </c>
      <c r="AB101" s="200" t="s">
        <v>117</v>
      </c>
      <c r="AC101" s="200" t="s">
        <v>215</v>
      </c>
      <c r="AD101" s="201" t="s">
        <v>516</v>
      </c>
      <c r="AE101" s="162" t="s">
        <v>656</v>
      </c>
      <c r="AF101" s="309" t="s">
        <v>557</v>
      </c>
    </row>
    <row r="102" spans="1:32" ht="90" customHeight="1" thickBot="1">
      <c r="A102" s="160"/>
      <c r="B102" s="319" t="s">
        <v>792</v>
      </c>
      <c r="C102" s="201" t="s">
        <v>45</v>
      </c>
      <c r="D102" s="206" t="s">
        <v>56</v>
      </c>
      <c r="E102" s="207" t="s">
        <v>404</v>
      </c>
      <c r="F102" s="208" t="s">
        <v>261</v>
      </c>
      <c r="G102" s="335"/>
      <c r="H102" s="335"/>
      <c r="I102" s="335" t="s">
        <v>173</v>
      </c>
      <c r="J102" s="336"/>
      <c r="K102" s="189" t="s">
        <v>852</v>
      </c>
      <c r="L102" s="189"/>
      <c r="M102" s="190"/>
      <c r="N102" s="180" t="s">
        <v>169</v>
      </c>
      <c r="O102" s="184"/>
      <c r="P102" s="370"/>
      <c r="Q102" s="370"/>
      <c r="R102" s="371"/>
      <c r="S102" s="373"/>
      <c r="T102" s="372"/>
      <c r="U102" s="370"/>
      <c r="V102" s="371"/>
      <c r="W102" s="324"/>
      <c r="X102" s="372"/>
      <c r="Y102" s="164"/>
      <c r="Z102" s="200" t="s">
        <v>113</v>
      </c>
      <c r="AA102" s="200" t="s">
        <v>111</v>
      </c>
      <c r="AB102" s="200" t="s">
        <v>117</v>
      </c>
      <c r="AC102" s="200" t="s">
        <v>181</v>
      </c>
      <c r="AD102" s="201" t="s">
        <v>517</v>
      </c>
      <c r="AE102" s="162" t="s">
        <v>657</v>
      </c>
      <c r="AF102" s="310"/>
    </row>
    <row r="103" spans="1:32" ht="90" customHeight="1" thickBot="1">
      <c r="A103" s="160"/>
      <c r="B103" s="319" t="s">
        <v>792</v>
      </c>
      <c r="C103" s="201" t="s">
        <v>405</v>
      </c>
      <c r="D103" s="206" t="s">
        <v>56</v>
      </c>
      <c r="E103" s="207" t="s">
        <v>406</v>
      </c>
      <c r="F103" s="208" t="s">
        <v>261</v>
      </c>
      <c r="G103" s="335"/>
      <c r="H103" s="335"/>
      <c r="I103" s="335" t="s">
        <v>173</v>
      </c>
      <c r="J103" s="336"/>
      <c r="K103" s="189" t="s">
        <v>852</v>
      </c>
      <c r="L103" s="189"/>
      <c r="M103" s="190"/>
      <c r="N103" s="180" t="s">
        <v>169</v>
      </c>
      <c r="O103" s="184"/>
      <c r="P103" s="370"/>
      <c r="Q103" s="370"/>
      <c r="R103" s="371"/>
      <c r="S103" s="373"/>
      <c r="T103" s="372"/>
      <c r="U103" s="370"/>
      <c r="V103" s="371"/>
      <c r="W103" s="324"/>
      <c r="X103" s="372"/>
      <c r="Y103" s="164"/>
      <c r="Z103" s="200" t="s">
        <v>113</v>
      </c>
      <c r="AA103" s="200" t="s">
        <v>111</v>
      </c>
      <c r="AB103" s="200" t="s">
        <v>117</v>
      </c>
      <c r="AC103" s="200" t="s">
        <v>181</v>
      </c>
      <c r="AD103" s="201" t="s">
        <v>518</v>
      </c>
      <c r="AE103" s="162" t="s">
        <v>658</v>
      </c>
      <c r="AF103" s="310"/>
    </row>
    <row r="104" spans="1:32" ht="90" customHeight="1" thickBot="1">
      <c r="A104" s="160"/>
      <c r="B104" s="319" t="s">
        <v>792</v>
      </c>
      <c r="C104" s="201" t="s">
        <v>46</v>
      </c>
      <c r="D104" s="206" t="s">
        <v>50</v>
      </c>
      <c r="E104" s="207" t="s">
        <v>51</v>
      </c>
      <c r="F104" s="208"/>
      <c r="G104" s="335" t="s">
        <v>680</v>
      </c>
      <c r="H104" s="335"/>
      <c r="I104" s="335" t="s">
        <v>169</v>
      </c>
      <c r="J104" s="336"/>
      <c r="K104" s="189" t="s">
        <v>853</v>
      </c>
      <c r="L104" s="189"/>
      <c r="M104" s="190"/>
      <c r="N104" s="180" t="s">
        <v>169</v>
      </c>
      <c r="O104" s="184"/>
      <c r="P104" s="370"/>
      <c r="Q104" s="370"/>
      <c r="R104" s="371"/>
      <c r="S104" s="373"/>
      <c r="T104" s="372"/>
      <c r="U104" s="370"/>
      <c r="V104" s="371"/>
      <c r="W104" s="324"/>
      <c r="X104" s="372"/>
      <c r="Y104" s="164"/>
      <c r="Z104" s="200" t="s">
        <v>113</v>
      </c>
      <c r="AA104" s="200" t="s">
        <v>111</v>
      </c>
      <c r="AB104" s="200" t="s">
        <v>117</v>
      </c>
      <c r="AC104" s="200" t="s">
        <v>181</v>
      </c>
      <c r="AD104" s="201" t="s">
        <v>519</v>
      </c>
      <c r="AE104" s="162" t="s">
        <v>659</v>
      </c>
      <c r="AF104" s="309" t="s">
        <v>557</v>
      </c>
    </row>
    <row r="105" spans="1:32" ht="117" customHeight="1" thickBot="1">
      <c r="A105" s="160"/>
      <c r="B105" s="319" t="s">
        <v>792</v>
      </c>
      <c r="C105" s="201" t="s">
        <v>47</v>
      </c>
      <c r="D105" s="206" t="s">
        <v>50</v>
      </c>
      <c r="E105" s="207" t="s">
        <v>407</v>
      </c>
      <c r="F105" s="208"/>
      <c r="G105" s="335" t="s">
        <v>681</v>
      </c>
      <c r="H105" s="335"/>
      <c r="I105" s="335" t="s">
        <v>169</v>
      </c>
      <c r="J105" s="336"/>
      <c r="K105" s="190" t="s">
        <v>862</v>
      </c>
      <c r="L105" s="189"/>
      <c r="M105" s="190"/>
      <c r="N105" s="180" t="s">
        <v>169</v>
      </c>
      <c r="P105" s="370"/>
      <c r="Q105" s="370"/>
      <c r="R105" s="371"/>
      <c r="S105" s="373"/>
      <c r="T105" s="372"/>
      <c r="U105" s="370"/>
      <c r="V105" s="371"/>
      <c r="W105" s="324"/>
      <c r="X105" s="372"/>
      <c r="Y105" s="164"/>
      <c r="Z105" s="200" t="s">
        <v>113</v>
      </c>
      <c r="AA105" s="200" t="s">
        <v>111</v>
      </c>
      <c r="AB105" s="200" t="s">
        <v>117</v>
      </c>
      <c r="AC105" s="200" t="s">
        <v>181</v>
      </c>
      <c r="AD105" s="201" t="s">
        <v>520</v>
      </c>
      <c r="AE105" s="162" t="s">
        <v>660</v>
      </c>
      <c r="AF105" s="309" t="s">
        <v>557</v>
      </c>
    </row>
    <row r="106" spans="1:32" ht="90" customHeight="1" thickBot="1">
      <c r="A106" s="160"/>
      <c r="B106" s="319" t="s">
        <v>792</v>
      </c>
      <c r="C106" s="201" t="s">
        <v>48</v>
      </c>
      <c r="D106" s="206" t="s">
        <v>54</v>
      </c>
      <c r="E106" s="207" t="s">
        <v>408</v>
      </c>
      <c r="F106" s="208" t="s">
        <v>267</v>
      </c>
      <c r="G106" s="320" t="s">
        <v>682</v>
      </c>
      <c r="H106" s="320"/>
      <c r="I106" s="320" t="s">
        <v>169</v>
      </c>
      <c r="J106" s="321"/>
      <c r="K106" s="190" t="s">
        <v>854</v>
      </c>
      <c r="L106" s="182"/>
      <c r="M106" s="183"/>
      <c r="N106" s="180" t="s">
        <v>169</v>
      </c>
      <c r="O106" s="184"/>
      <c r="P106" s="326"/>
      <c r="Q106" s="326"/>
      <c r="R106" s="327"/>
      <c r="S106" s="324"/>
      <c r="T106" s="328"/>
      <c r="U106" s="326"/>
      <c r="V106" s="327"/>
      <c r="W106" s="324"/>
      <c r="X106" s="328"/>
      <c r="Y106" s="163"/>
      <c r="Z106" s="200" t="s">
        <v>113</v>
      </c>
      <c r="AA106" s="200" t="s">
        <v>111</v>
      </c>
      <c r="AB106" s="200" t="s">
        <v>117</v>
      </c>
      <c r="AC106" s="200" t="s">
        <v>181</v>
      </c>
      <c r="AD106" s="201" t="s">
        <v>521</v>
      </c>
      <c r="AE106" s="162" t="s">
        <v>661</v>
      </c>
      <c r="AF106" s="310"/>
    </row>
    <row r="107" spans="1:32" ht="90" customHeight="1" thickBot="1">
      <c r="A107" s="160"/>
      <c r="B107" s="319" t="s">
        <v>792</v>
      </c>
      <c r="C107" s="201" t="s">
        <v>49</v>
      </c>
      <c r="D107" s="206" t="s">
        <v>54</v>
      </c>
      <c r="E107" s="207" t="s">
        <v>409</v>
      </c>
      <c r="F107" s="208" t="s">
        <v>277</v>
      </c>
      <c r="G107" s="320" t="s">
        <v>683</v>
      </c>
      <c r="H107" s="320"/>
      <c r="I107" s="320" t="s">
        <v>169</v>
      </c>
      <c r="J107" s="321"/>
      <c r="K107" s="190" t="s">
        <v>855</v>
      </c>
      <c r="L107" s="182"/>
      <c r="M107" s="183"/>
      <c r="N107" s="180" t="s">
        <v>169</v>
      </c>
      <c r="O107" s="184"/>
      <c r="P107" s="326"/>
      <c r="Q107" s="326"/>
      <c r="R107" s="327"/>
      <c r="S107" s="324"/>
      <c r="T107" s="328"/>
      <c r="U107" s="326"/>
      <c r="V107" s="327"/>
      <c r="W107" s="324"/>
      <c r="X107" s="328"/>
      <c r="Y107" s="161"/>
      <c r="Z107" s="200" t="s">
        <v>113</v>
      </c>
      <c r="AA107" s="200" t="s">
        <v>111</v>
      </c>
      <c r="AB107" s="200" t="s">
        <v>117</v>
      </c>
      <c r="AC107" s="200" t="s">
        <v>181</v>
      </c>
      <c r="AD107" s="201" t="s">
        <v>522</v>
      </c>
      <c r="AE107" s="162" t="s">
        <v>662</v>
      </c>
      <c r="AF107" s="310"/>
    </row>
    <row r="108" spans="1:32" ht="90" customHeight="1" thickBot="1">
      <c r="A108" s="160"/>
      <c r="B108" s="319" t="s">
        <v>792</v>
      </c>
      <c r="C108" s="201" t="s">
        <v>52</v>
      </c>
      <c r="D108" s="206" t="s">
        <v>275</v>
      </c>
      <c r="E108" s="207" t="s">
        <v>410</v>
      </c>
      <c r="F108" s="208" t="s">
        <v>411</v>
      </c>
      <c r="G108" s="320" t="s">
        <v>682</v>
      </c>
      <c r="H108" s="320"/>
      <c r="I108" s="320" t="s">
        <v>169</v>
      </c>
      <c r="J108" s="321"/>
      <c r="K108" s="190" t="s">
        <v>854</v>
      </c>
      <c r="L108" s="182"/>
      <c r="M108" s="183"/>
      <c r="N108" s="180" t="s">
        <v>169</v>
      </c>
      <c r="O108" s="184"/>
      <c r="P108" s="326"/>
      <c r="Q108" s="326"/>
      <c r="R108" s="327"/>
      <c r="S108" s="324"/>
      <c r="T108" s="328"/>
      <c r="U108" s="326"/>
      <c r="V108" s="327"/>
      <c r="W108" s="324"/>
      <c r="X108" s="328"/>
      <c r="Y108" s="161"/>
      <c r="Z108" s="200" t="s">
        <v>113</v>
      </c>
      <c r="AA108" s="200" t="s">
        <v>111</v>
      </c>
      <c r="AB108" s="200" t="s">
        <v>117</v>
      </c>
      <c r="AC108" s="200" t="s">
        <v>181</v>
      </c>
      <c r="AD108" s="201" t="s">
        <v>523</v>
      </c>
      <c r="AE108" s="162" t="s">
        <v>663</v>
      </c>
      <c r="AF108" s="310"/>
    </row>
    <row r="109" spans="1:32" ht="90" customHeight="1" thickBot="1">
      <c r="A109" s="160"/>
      <c r="B109" s="319" t="s">
        <v>153</v>
      </c>
      <c r="C109" s="201" t="s">
        <v>53</v>
      </c>
      <c r="D109" s="206" t="s">
        <v>412</v>
      </c>
      <c r="E109" s="207" t="s">
        <v>413</v>
      </c>
      <c r="F109" s="208" t="s">
        <v>411</v>
      </c>
      <c r="G109" s="320" t="s">
        <v>667</v>
      </c>
      <c r="H109" s="320"/>
      <c r="I109" s="320" t="s">
        <v>169</v>
      </c>
      <c r="J109" s="321"/>
      <c r="K109" s="182" t="s">
        <v>811</v>
      </c>
      <c r="L109" s="182"/>
      <c r="M109" s="183"/>
      <c r="N109" s="180" t="s">
        <v>169</v>
      </c>
      <c r="O109" s="184"/>
      <c r="P109" s="326"/>
      <c r="Q109" s="326"/>
      <c r="R109" s="327"/>
      <c r="S109" s="329"/>
      <c r="T109" s="328"/>
      <c r="U109" s="326"/>
      <c r="V109" s="327"/>
      <c r="W109" s="324"/>
      <c r="X109" s="328"/>
      <c r="Y109" s="161"/>
      <c r="Z109" s="200" t="s">
        <v>115</v>
      </c>
      <c r="AA109" s="200" t="s">
        <v>134</v>
      </c>
      <c r="AB109" s="200" t="s">
        <v>117</v>
      </c>
      <c r="AC109" s="200" t="s">
        <v>182</v>
      </c>
      <c r="AD109" s="201" t="s">
        <v>524</v>
      </c>
      <c r="AE109" s="162" t="s">
        <v>664</v>
      </c>
      <c r="AF109" s="310"/>
    </row>
    <row r="110" spans="1:32" ht="90" customHeight="1" thickBot="1">
      <c r="A110" s="160"/>
      <c r="B110" s="319" t="s">
        <v>153</v>
      </c>
      <c r="C110" s="201" t="s">
        <v>55</v>
      </c>
      <c r="D110" s="206" t="s">
        <v>412</v>
      </c>
      <c r="E110" s="207" t="s">
        <v>414</v>
      </c>
      <c r="F110" s="208" t="s">
        <v>263</v>
      </c>
      <c r="G110" s="320" t="s">
        <v>742</v>
      </c>
      <c r="H110" s="320"/>
      <c r="I110" s="320" t="s">
        <v>169</v>
      </c>
      <c r="J110" s="321"/>
      <c r="K110" s="182" t="s">
        <v>863</v>
      </c>
      <c r="L110" s="182"/>
      <c r="M110" s="183"/>
      <c r="N110" s="180" t="s">
        <v>169</v>
      </c>
      <c r="O110" s="184"/>
      <c r="P110" s="326"/>
      <c r="Q110" s="326"/>
      <c r="R110" s="327"/>
      <c r="S110" s="329"/>
      <c r="T110" s="328"/>
      <c r="U110" s="326"/>
      <c r="V110" s="327"/>
      <c r="W110" s="324"/>
      <c r="X110" s="328"/>
      <c r="Y110" s="163"/>
      <c r="Z110" s="200" t="s">
        <v>115</v>
      </c>
      <c r="AA110" s="200" t="s">
        <v>419</v>
      </c>
      <c r="AB110" s="200" t="s">
        <v>117</v>
      </c>
      <c r="AC110" s="200" t="s">
        <v>182</v>
      </c>
      <c r="AD110" s="201" t="s">
        <v>525</v>
      </c>
      <c r="AE110" s="162" t="s">
        <v>665</v>
      </c>
      <c r="AF110" s="310"/>
    </row>
    <row r="111" spans="1:32" ht="409.5" customHeight="1" thickBot="1">
      <c r="A111" s="160"/>
      <c r="B111" s="319" t="s">
        <v>153</v>
      </c>
      <c r="C111" s="201" t="s">
        <v>57</v>
      </c>
      <c r="D111" s="206" t="s">
        <v>415</v>
      </c>
      <c r="E111" s="207" t="s">
        <v>416</v>
      </c>
      <c r="F111" s="208" t="s">
        <v>359</v>
      </c>
      <c r="G111" s="320" t="s">
        <v>736</v>
      </c>
      <c r="H111" s="320"/>
      <c r="I111" s="320" t="s">
        <v>169</v>
      </c>
      <c r="J111" s="321" t="s">
        <v>668</v>
      </c>
      <c r="K111" s="182" t="s">
        <v>874</v>
      </c>
      <c r="L111" s="182"/>
      <c r="M111" s="183"/>
      <c r="N111" s="180" t="s">
        <v>169</v>
      </c>
      <c r="O111" s="184"/>
      <c r="P111" s="326"/>
      <c r="Q111" s="326"/>
      <c r="R111" s="327"/>
      <c r="S111" s="329"/>
      <c r="T111" s="328"/>
      <c r="U111" s="326"/>
      <c r="V111" s="327"/>
      <c r="W111" s="324"/>
      <c r="X111" s="328"/>
      <c r="Y111" s="163"/>
      <c r="Z111" s="200" t="s">
        <v>115</v>
      </c>
      <c r="AA111" s="200" t="s">
        <v>141</v>
      </c>
      <c r="AB111" s="200" t="s">
        <v>117</v>
      </c>
      <c r="AC111" s="200" t="s">
        <v>182</v>
      </c>
      <c r="AD111" s="201" t="s">
        <v>526</v>
      </c>
      <c r="AE111" s="162" t="s">
        <v>666</v>
      </c>
      <c r="AF111" s="310"/>
    </row>
    <row r="112" spans="1:32">
      <c r="G112" s="374"/>
      <c r="H112" s="374"/>
      <c r="I112" s="374"/>
      <c r="J112" s="374"/>
      <c r="K112" s="192"/>
      <c r="L112" s="192"/>
      <c r="M112" s="192"/>
      <c r="N112" s="192"/>
      <c r="O112" s="192"/>
      <c r="P112" s="374"/>
      <c r="Q112" s="374"/>
      <c r="R112" s="374"/>
      <c r="S112" s="374"/>
      <c r="T112" s="374"/>
      <c r="U112" s="374"/>
      <c r="V112" s="374"/>
      <c r="W112" s="374"/>
      <c r="X112" s="374"/>
    </row>
    <row r="114" spans="7:7">
      <c r="G114" s="375" t="s">
        <v>735</v>
      </c>
    </row>
    <row r="146" spans="1:2">
      <c r="A146" s="1" t="s">
        <v>159</v>
      </c>
      <c r="B146" s="1" t="s">
        <v>159</v>
      </c>
    </row>
    <row r="147" spans="1:2">
      <c r="A147" s="1" t="s">
        <v>160</v>
      </c>
      <c r="B147" s="1" t="s">
        <v>160</v>
      </c>
    </row>
    <row r="148" spans="1:2">
      <c r="A148" s="1" t="s">
        <v>161</v>
      </c>
      <c r="B148" s="1" t="s">
        <v>161</v>
      </c>
    </row>
    <row r="149" spans="1:2">
      <c r="A149" s="1" t="s">
        <v>162</v>
      </c>
      <c r="B149" s="1" t="s">
        <v>162</v>
      </c>
    </row>
    <row r="150" spans="1:2">
      <c r="A150" s="1" t="s">
        <v>163</v>
      </c>
      <c r="B150" s="1" t="s">
        <v>163</v>
      </c>
    </row>
    <row r="151" spans="1:2">
      <c r="A151" s="1" t="s">
        <v>164</v>
      </c>
      <c r="B151" s="1" t="s">
        <v>164</v>
      </c>
    </row>
    <row r="152" spans="1:2">
      <c r="A152" s="1" t="s">
        <v>165</v>
      </c>
      <c r="B152" s="1" t="s">
        <v>165</v>
      </c>
    </row>
    <row r="153" spans="1:2">
      <c r="A153" s="1" t="s">
        <v>166</v>
      </c>
      <c r="B153" s="1" t="s">
        <v>166</v>
      </c>
    </row>
    <row r="154" spans="1:2">
      <c r="A154" s="1" t="s">
        <v>167</v>
      </c>
      <c r="B154" s="1" t="s">
        <v>167</v>
      </c>
    </row>
    <row r="155" spans="1:2">
      <c r="A155" s="1" t="s">
        <v>168</v>
      </c>
      <c r="B155" s="1" t="s">
        <v>168</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160</v>
      </c>
      <c r="B164" s="5" t="s">
        <v>160</v>
      </c>
    </row>
    <row r="165" spans="1:2">
      <c r="A165" s="5" t="s">
        <v>169</v>
      </c>
      <c r="B165" s="5" t="s">
        <v>169</v>
      </c>
    </row>
    <row r="166" spans="1:2">
      <c r="A166" s="5" t="s">
        <v>170</v>
      </c>
      <c r="B166" s="5" t="s">
        <v>170</v>
      </c>
    </row>
    <row r="167" spans="1:2">
      <c r="A167" s="5" t="s">
        <v>164</v>
      </c>
      <c r="B167" s="5" t="s">
        <v>164</v>
      </c>
    </row>
    <row r="168" spans="1:2">
      <c r="A168" s="5" t="s">
        <v>171</v>
      </c>
      <c r="B168" s="5" t="s">
        <v>171</v>
      </c>
    </row>
    <row r="169" spans="1:2">
      <c r="A169" s="6" t="s">
        <v>168</v>
      </c>
      <c r="B169" s="6" t="s">
        <v>168</v>
      </c>
    </row>
    <row r="170" spans="1:2">
      <c r="A170" s="5" t="s">
        <v>173</v>
      </c>
      <c r="B170" s="5" t="s">
        <v>173</v>
      </c>
    </row>
    <row r="171" spans="1:2">
      <c r="A171" s="5" t="s">
        <v>172</v>
      </c>
      <c r="B171" s="5" t="s">
        <v>172</v>
      </c>
    </row>
    <row r="172" spans="1:2">
      <c r="A172" s="4" t="s">
        <v>167</v>
      </c>
      <c r="B172" s="4" t="s">
        <v>167</v>
      </c>
    </row>
  </sheetData>
  <sheetProtection selectLockedCells="1" autoFilter="0" pivotTables="0"/>
  <autoFilter ref="A2:AF111"/>
  <mergeCells count="4">
    <mergeCell ref="G1:J1"/>
    <mergeCell ref="K1:O1"/>
    <mergeCell ref="P1:T1"/>
    <mergeCell ref="U1:X1"/>
  </mergeCells>
  <conditionalFormatting sqref="I39 I42 I44 I46:I47 I49 S49:S73 S75 I78 S78 S80:S81 S84:S95 I3:I4 S3:S37 I7:I15 I17:I37 I51:I53 I55:I73 I84:I95 I97:I111 S97:S111 N3:N111">
    <cfRule type="containsText" dxfId="4307" priority="1048" operator="containsText" text="Deferred">
      <formula>NOT(ISERROR(SEARCH("Deferred",I3)))</formula>
    </cfRule>
    <cfRule type="containsText" dxfId="4306" priority="1050" operator="containsText" text="Update Not Provided">
      <formula>NOT(ISERROR(SEARCH("Update Not Provided",I3)))</formula>
    </cfRule>
    <cfRule type="containsText" dxfId="4305" priority="1051" operator="containsText" text="Not Yet Due">
      <formula>NOT(ISERROR(SEARCH("Not Yet Due",I3)))</formula>
    </cfRule>
    <cfRule type="containsText" dxfId="4304" priority="1052" operator="containsText" text="Deleted">
      <formula>NOT(ISERROR(SEARCH("Deleted",I3)))</formula>
    </cfRule>
    <cfRule type="containsText" dxfId="4303" priority="1053" operator="containsText" text="Completed Behind Schedule">
      <formula>NOT(ISERROR(SEARCH("Completed Behind Schedule",I3)))</formula>
    </cfRule>
    <cfRule type="containsText" dxfId="4302" priority="1054" operator="containsText" text="Off Target">
      <formula>NOT(ISERROR(SEARCH("Off Target",I3)))</formula>
    </cfRule>
    <cfRule type="containsText" dxfId="4301" priority="1055" operator="containsText" text="In Danger of Falling Behind Target">
      <formula>NOT(ISERROR(SEARCH("In Danger of Falling Behind Target",I3)))</formula>
    </cfRule>
    <cfRule type="containsText" dxfId="4300" priority="1056" operator="containsText" text="Fully Achieved">
      <formula>NOT(ISERROR(SEARCH("Fully Achieved",I3)))</formula>
    </cfRule>
    <cfRule type="containsText" dxfId="4299" priority="1057" operator="containsText" text="On track to be achieved">
      <formula>NOT(ISERROR(SEARCH("On track to be achieved",I3)))</formula>
    </cfRule>
  </conditionalFormatting>
  <conditionalFormatting sqref="W3">
    <cfRule type="containsText" dxfId="4298" priority="993" operator="containsText" text="Deleted">
      <formula>NOT(ISERROR(SEARCH("Deleted",W3)))</formula>
    </cfRule>
    <cfRule type="containsText" dxfId="4297" priority="994" operator="containsText" text="Deferred">
      <formula>NOT(ISERROR(SEARCH("Deferred",W3)))</formula>
    </cfRule>
    <cfRule type="containsText" dxfId="4296" priority="995" operator="containsText" text="Completion date within reasonable tolerance">
      <formula>NOT(ISERROR(SEARCH("Completion date within reasonable tolerance",W3)))</formula>
    </cfRule>
    <cfRule type="containsText" dxfId="4295" priority="996" operator="containsText" text="completed significantly after target deadline">
      <formula>NOT(ISERROR(SEARCH("completed significantly after target deadline",W3)))</formula>
    </cfRule>
    <cfRule type="containsText" dxfId="4294" priority="997" operator="containsText" text="Off target">
      <formula>NOT(ISERROR(SEARCH("Off target",W3)))</formula>
    </cfRule>
    <cfRule type="containsText" dxfId="4293" priority="998" operator="containsText" text="Target partially met">
      <formula>NOT(ISERROR(SEARCH("Target partially met",W3)))</formula>
    </cfRule>
    <cfRule type="containsText" dxfId="4292" priority="999" operator="containsText" text="Numerical outturn within 10% tolerance">
      <formula>NOT(ISERROR(SEARCH("Numerical outturn within 10% tolerance",W3)))</formula>
    </cfRule>
    <cfRule type="containsText" dxfId="4291" priority="1000" operator="containsText" text="Numerical outturn within 5% Tolerance">
      <formula>NOT(ISERROR(SEARCH("Numerical outturn within 5% Tolerance",W3)))</formula>
    </cfRule>
    <cfRule type="containsText" dxfId="4290" priority="1001" operator="containsText" text="Fully Achieved">
      <formula>NOT(ISERROR(SEARCH("Fully Achieved",W3)))</formula>
    </cfRule>
    <cfRule type="containsText" dxfId="4289" priority="1002" operator="containsText" text="Update Not Provided">
      <formula>NOT(ISERROR(SEARCH("Update Not Provided",W3)))</formula>
    </cfRule>
    <cfRule type="containsText" dxfId="4288" priority="1021" operator="containsText" text="Deferred">
      <formula>NOT(ISERROR(SEARCH("Deferred",W3)))</formula>
    </cfRule>
    <cfRule type="containsText" dxfId="4287" priority="1022" operator="containsText" text="Update Not Provided">
      <formula>NOT(ISERROR(SEARCH("Update Not Provided",W3)))</formula>
    </cfRule>
    <cfRule type="containsText" dxfId="4286" priority="1023" operator="containsText" text="Not Yet Due">
      <formula>NOT(ISERROR(SEARCH("Not Yet Due",W3)))</formula>
    </cfRule>
    <cfRule type="containsText" dxfId="4285" priority="1024" operator="containsText" text="Deleted">
      <formula>NOT(ISERROR(SEARCH("Deleted",W3)))</formula>
    </cfRule>
    <cfRule type="containsText" dxfId="4284" priority="1025" operator="containsText" text="Completed Behind Schedule">
      <formula>NOT(ISERROR(SEARCH("Completed Behind Schedule",W3)))</formula>
    </cfRule>
    <cfRule type="containsText" dxfId="4283" priority="1026" operator="containsText" text="Off Target">
      <formula>NOT(ISERROR(SEARCH("Off Target",W3)))</formula>
    </cfRule>
    <cfRule type="containsText" dxfId="4282" priority="1027" operator="containsText" text="In Danger of Falling Behind Target">
      <formula>NOT(ISERROR(SEARCH("In Danger of Falling Behind Target",W3)))</formula>
    </cfRule>
    <cfRule type="containsText" dxfId="4281" priority="1028" operator="containsText" text="Fully Achieved">
      <formula>NOT(ISERROR(SEARCH("Fully Achieved",W3)))</formula>
    </cfRule>
    <cfRule type="containsText" dxfId="4280" priority="1029" operator="containsText" text="On track to be achieved">
      <formula>NOT(ISERROR(SEARCH("On track to be achieved",W3)))</formula>
    </cfRule>
  </conditionalFormatting>
  <conditionalFormatting sqref="S39 S42 S46:S47 S44">
    <cfRule type="containsText" dxfId="4279" priority="1003" operator="containsText" text="Deferred">
      <formula>NOT(ISERROR(SEARCH("Deferred",S39)))</formula>
    </cfRule>
    <cfRule type="containsText" dxfId="4278" priority="1004" operator="containsText" text="Update Not Provided">
      <formula>NOT(ISERROR(SEARCH("Update Not Provided",S39)))</formula>
    </cfRule>
    <cfRule type="containsText" dxfId="4277" priority="1005" operator="containsText" text="Not Yet Due">
      <formula>NOT(ISERROR(SEARCH("Not Yet Due",S39)))</formula>
    </cfRule>
    <cfRule type="containsText" dxfId="4276" priority="1006" operator="containsText" text="Deleted">
      <formula>NOT(ISERROR(SEARCH("Deleted",S39)))</formula>
    </cfRule>
    <cfRule type="containsText" dxfId="4275" priority="1007" operator="containsText" text="Completed Behind Schedule">
      <formula>NOT(ISERROR(SEARCH("Completed Behind Schedule",S39)))</formula>
    </cfRule>
    <cfRule type="containsText" dxfId="4274" priority="1008" operator="containsText" text="Off Target">
      <formula>NOT(ISERROR(SEARCH("Off Target",S39)))</formula>
    </cfRule>
    <cfRule type="containsText" dxfId="4273" priority="1009" operator="containsText" text="In Danger of Falling Behind Target">
      <formula>NOT(ISERROR(SEARCH("In Danger of Falling Behind Target",S39)))</formula>
    </cfRule>
    <cfRule type="containsText" dxfId="4272" priority="1010" operator="containsText" text="Fully Achieved">
      <formula>NOT(ISERROR(SEARCH("Fully Achieved",S39)))</formula>
    </cfRule>
    <cfRule type="containsText" dxfId="4271" priority="1011" operator="containsText" text="On track to be achieved">
      <formula>NOT(ISERROR(SEARCH("On track to be achieved",S39)))</formula>
    </cfRule>
  </conditionalFormatting>
  <conditionalFormatting sqref="I38">
    <cfRule type="containsText" dxfId="4270" priority="984" operator="containsText" text="Deferred">
      <formula>NOT(ISERROR(SEARCH("Deferred",I38)))</formula>
    </cfRule>
    <cfRule type="containsText" dxfId="4269" priority="985" operator="containsText" text="Update Not Provided">
      <formula>NOT(ISERROR(SEARCH("Update Not Provided",I38)))</formula>
    </cfRule>
    <cfRule type="containsText" dxfId="4268" priority="986" operator="containsText" text="Not Yet Due">
      <formula>NOT(ISERROR(SEARCH("Not Yet Due",I38)))</formula>
    </cfRule>
    <cfRule type="containsText" dxfId="4267" priority="987" operator="containsText" text="Deleted">
      <formula>NOT(ISERROR(SEARCH("Deleted",I38)))</formula>
    </cfRule>
    <cfRule type="containsText" dxfId="4266" priority="988" operator="containsText" text="Completed Behind Schedule">
      <formula>NOT(ISERROR(SEARCH("Completed Behind Schedule",I38)))</formula>
    </cfRule>
    <cfRule type="containsText" dxfId="4265" priority="989" operator="containsText" text="Off Target">
      <formula>NOT(ISERROR(SEARCH("Off Target",I38)))</formula>
    </cfRule>
    <cfRule type="containsText" dxfId="4264" priority="990" operator="containsText" text="In Danger of Falling Behind Target">
      <formula>NOT(ISERROR(SEARCH("In Danger of Falling Behind Target",I38)))</formula>
    </cfRule>
    <cfRule type="containsText" dxfId="4263" priority="991" operator="containsText" text="Fully Achieved">
      <formula>NOT(ISERROR(SEARCH("Fully Achieved",I38)))</formula>
    </cfRule>
    <cfRule type="containsText" dxfId="4262" priority="992" operator="containsText" text="On track to be achieved">
      <formula>NOT(ISERROR(SEARCH("On track to be achieved",I38)))</formula>
    </cfRule>
  </conditionalFormatting>
  <conditionalFormatting sqref="S38">
    <cfRule type="containsText" dxfId="4261" priority="957" operator="containsText" text="Deferred">
      <formula>NOT(ISERROR(SEARCH("Deferred",S38)))</formula>
    </cfRule>
    <cfRule type="containsText" dxfId="4260" priority="958" operator="containsText" text="Update Not Provided">
      <formula>NOT(ISERROR(SEARCH("Update Not Provided",S38)))</formula>
    </cfRule>
    <cfRule type="containsText" dxfId="4259" priority="959" operator="containsText" text="Not Yet Due">
      <formula>NOT(ISERROR(SEARCH("Not Yet Due",S38)))</formula>
    </cfRule>
    <cfRule type="containsText" dxfId="4258" priority="960" operator="containsText" text="Deleted">
      <formula>NOT(ISERROR(SEARCH("Deleted",S38)))</formula>
    </cfRule>
    <cfRule type="containsText" dxfId="4257" priority="961" operator="containsText" text="Completed Behind Schedule">
      <formula>NOT(ISERROR(SEARCH("Completed Behind Schedule",S38)))</formula>
    </cfRule>
    <cfRule type="containsText" dxfId="4256" priority="962" operator="containsText" text="Off Target">
      <formula>NOT(ISERROR(SEARCH("Off Target",S38)))</formula>
    </cfRule>
    <cfRule type="containsText" dxfId="4255" priority="963" operator="containsText" text="In Danger of Falling Behind Target">
      <formula>NOT(ISERROR(SEARCH("In Danger of Falling Behind Target",S38)))</formula>
    </cfRule>
    <cfRule type="containsText" dxfId="4254" priority="964" operator="containsText" text="Fully Achieved">
      <formula>NOT(ISERROR(SEARCH("Fully Achieved",S38)))</formula>
    </cfRule>
    <cfRule type="containsText" dxfId="4253" priority="965" operator="containsText" text="On track to be achieved">
      <formula>NOT(ISERROR(SEARCH("On track to be achieved",S38)))</formula>
    </cfRule>
  </conditionalFormatting>
  <conditionalFormatting sqref="I40">
    <cfRule type="containsText" dxfId="4252" priority="938" operator="containsText" text="Deferred">
      <formula>NOT(ISERROR(SEARCH("Deferred",I40)))</formula>
    </cfRule>
    <cfRule type="containsText" dxfId="4251" priority="939" operator="containsText" text="Update Not Provided">
      <formula>NOT(ISERROR(SEARCH("Update Not Provided",I40)))</formula>
    </cfRule>
    <cfRule type="containsText" dxfId="4250" priority="940" operator="containsText" text="Not Yet Due">
      <formula>NOT(ISERROR(SEARCH("Not Yet Due",I40)))</formula>
    </cfRule>
    <cfRule type="containsText" dxfId="4249" priority="941" operator="containsText" text="Deleted">
      <formula>NOT(ISERROR(SEARCH("Deleted",I40)))</formula>
    </cfRule>
    <cfRule type="containsText" dxfId="4248" priority="942" operator="containsText" text="Completed Behind Schedule">
      <formula>NOT(ISERROR(SEARCH("Completed Behind Schedule",I40)))</formula>
    </cfRule>
    <cfRule type="containsText" dxfId="4247" priority="943" operator="containsText" text="Off Target">
      <formula>NOT(ISERROR(SEARCH("Off Target",I40)))</formula>
    </cfRule>
    <cfRule type="containsText" dxfId="4246" priority="944" operator="containsText" text="In Danger of Falling Behind Target">
      <formula>NOT(ISERROR(SEARCH("In Danger of Falling Behind Target",I40)))</formula>
    </cfRule>
    <cfRule type="containsText" dxfId="4245" priority="945" operator="containsText" text="Fully Achieved">
      <formula>NOT(ISERROR(SEARCH("Fully Achieved",I40)))</formula>
    </cfRule>
    <cfRule type="containsText" dxfId="4244" priority="946" operator="containsText" text="On track to be achieved">
      <formula>NOT(ISERROR(SEARCH("On track to be achieved",I40)))</formula>
    </cfRule>
  </conditionalFormatting>
  <conditionalFormatting sqref="S40">
    <cfRule type="containsText" dxfId="4243" priority="911" operator="containsText" text="Deferred">
      <formula>NOT(ISERROR(SEARCH("Deferred",S40)))</formula>
    </cfRule>
    <cfRule type="containsText" dxfId="4242" priority="912" operator="containsText" text="Update Not Provided">
      <formula>NOT(ISERROR(SEARCH("Update Not Provided",S40)))</formula>
    </cfRule>
    <cfRule type="containsText" dxfId="4241" priority="913" operator="containsText" text="Not Yet Due">
      <formula>NOT(ISERROR(SEARCH("Not Yet Due",S40)))</formula>
    </cfRule>
    <cfRule type="containsText" dxfId="4240" priority="914" operator="containsText" text="Deleted">
      <formula>NOT(ISERROR(SEARCH("Deleted",S40)))</formula>
    </cfRule>
    <cfRule type="containsText" dxfId="4239" priority="915" operator="containsText" text="Completed Behind Schedule">
      <formula>NOT(ISERROR(SEARCH("Completed Behind Schedule",S40)))</formula>
    </cfRule>
    <cfRule type="containsText" dxfId="4238" priority="916" operator="containsText" text="Off Target">
      <formula>NOT(ISERROR(SEARCH("Off Target",S40)))</formula>
    </cfRule>
    <cfRule type="containsText" dxfId="4237" priority="917" operator="containsText" text="In Danger of Falling Behind Target">
      <formula>NOT(ISERROR(SEARCH("In Danger of Falling Behind Target",S40)))</formula>
    </cfRule>
    <cfRule type="containsText" dxfId="4236" priority="918" operator="containsText" text="Fully Achieved">
      <formula>NOT(ISERROR(SEARCH("Fully Achieved",S40)))</formula>
    </cfRule>
    <cfRule type="containsText" dxfId="4235" priority="919" operator="containsText" text="On track to be achieved">
      <formula>NOT(ISERROR(SEARCH("On track to be achieved",S40)))</formula>
    </cfRule>
  </conditionalFormatting>
  <conditionalFormatting sqref="I41">
    <cfRule type="containsText" dxfId="4234" priority="892" operator="containsText" text="Deferred">
      <formula>NOT(ISERROR(SEARCH("Deferred",I41)))</formula>
    </cfRule>
    <cfRule type="containsText" dxfId="4233" priority="893" operator="containsText" text="Update Not Provided">
      <formula>NOT(ISERROR(SEARCH("Update Not Provided",I41)))</formula>
    </cfRule>
    <cfRule type="containsText" dxfId="4232" priority="894" operator="containsText" text="Not Yet Due">
      <formula>NOT(ISERROR(SEARCH("Not Yet Due",I41)))</formula>
    </cfRule>
    <cfRule type="containsText" dxfId="4231" priority="895" operator="containsText" text="Deleted">
      <formula>NOT(ISERROR(SEARCH("Deleted",I41)))</formula>
    </cfRule>
    <cfRule type="containsText" dxfId="4230" priority="896" operator="containsText" text="Completed Behind Schedule">
      <formula>NOT(ISERROR(SEARCH("Completed Behind Schedule",I41)))</formula>
    </cfRule>
    <cfRule type="containsText" dxfId="4229" priority="897" operator="containsText" text="Off Target">
      <formula>NOT(ISERROR(SEARCH("Off Target",I41)))</formula>
    </cfRule>
    <cfRule type="containsText" dxfId="4228" priority="898" operator="containsText" text="In Danger of Falling Behind Target">
      <formula>NOT(ISERROR(SEARCH("In Danger of Falling Behind Target",I41)))</formula>
    </cfRule>
    <cfRule type="containsText" dxfId="4227" priority="899" operator="containsText" text="Fully Achieved">
      <formula>NOT(ISERROR(SEARCH("Fully Achieved",I41)))</formula>
    </cfRule>
    <cfRule type="containsText" dxfId="4226" priority="900" operator="containsText" text="On track to be achieved">
      <formula>NOT(ISERROR(SEARCH("On track to be achieved",I41)))</formula>
    </cfRule>
  </conditionalFormatting>
  <conditionalFormatting sqref="S41">
    <cfRule type="containsText" dxfId="4225" priority="865" operator="containsText" text="Deferred">
      <formula>NOT(ISERROR(SEARCH("Deferred",S41)))</formula>
    </cfRule>
    <cfRule type="containsText" dxfId="4224" priority="866" operator="containsText" text="Update Not Provided">
      <formula>NOT(ISERROR(SEARCH("Update Not Provided",S41)))</formula>
    </cfRule>
    <cfRule type="containsText" dxfId="4223" priority="867" operator="containsText" text="Not Yet Due">
      <formula>NOT(ISERROR(SEARCH("Not Yet Due",S41)))</formula>
    </cfRule>
    <cfRule type="containsText" dxfId="4222" priority="868" operator="containsText" text="Deleted">
      <formula>NOT(ISERROR(SEARCH("Deleted",S41)))</formula>
    </cfRule>
    <cfRule type="containsText" dxfId="4221" priority="869" operator="containsText" text="Completed Behind Schedule">
      <formula>NOT(ISERROR(SEARCH("Completed Behind Schedule",S41)))</formula>
    </cfRule>
    <cfRule type="containsText" dxfId="4220" priority="870" operator="containsText" text="Off Target">
      <formula>NOT(ISERROR(SEARCH("Off Target",S41)))</formula>
    </cfRule>
    <cfRule type="containsText" dxfId="4219" priority="871" operator="containsText" text="In Danger of Falling Behind Target">
      <formula>NOT(ISERROR(SEARCH("In Danger of Falling Behind Target",S41)))</formula>
    </cfRule>
    <cfRule type="containsText" dxfId="4218" priority="872" operator="containsText" text="Fully Achieved">
      <formula>NOT(ISERROR(SEARCH("Fully Achieved",S41)))</formula>
    </cfRule>
    <cfRule type="containsText" dxfId="4217" priority="873" operator="containsText" text="On track to be achieved">
      <formula>NOT(ISERROR(SEARCH("On track to be achieved",S41)))</formula>
    </cfRule>
  </conditionalFormatting>
  <conditionalFormatting sqref="I43">
    <cfRule type="containsText" dxfId="4216" priority="846" operator="containsText" text="Deferred">
      <formula>NOT(ISERROR(SEARCH("Deferred",I43)))</formula>
    </cfRule>
    <cfRule type="containsText" dxfId="4215" priority="847" operator="containsText" text="Update Not Provided">
      <formula>NOT(ISERROR(SEARCH("Update Not Provided",I43)))</formula>
    </cfRule>
    <cfRule type="containsText" dxfId="4214" priority="848" operator="containsText" text="Not Yet Due">
      <formula>NOT(ISERROR(SEARCH("Not Yet Due",I43)))</formula>
    </cfRule>
    <cfRule type="containsText" dxfId="4213" priority="849" operator="containsText" text="Deleted">
      <formula>NOT(ISERROR(SEARCH("Deleted",I43)))</formula>
    </cfRule>
    <cfRule type="containsText" dxfId="4212" priority="850" operator="containsText" text="Completed Behind Schedule">
      <formula>NOT(ISERROR(SEARCH("Completed Behind Schedule",I43)))</formula>
    </cfRule>
    <cfRule type="containsText" dxfId="4211" priority="851" operator="containsText" text="Off Target">
      <formula>NOT(ISERROR(SEARCH("Off Target",I43)))</formula>
    </cfRule>
    <cfRule type="containsText" dxfId="4210" priority="852" operator="containsText" text="In Danger of Falling Behind Target">
      <formula>NOT(ISERROR(SEARCH("In Danger of Falling Behind Target",I43)))</formula>
    </cfRule>
    <cfRule type="containsText" dxfId="4209" priority="853" operator="containsText" text="Fully Achieved">
      <formula>NOT(ISERROR(SEARCH("Fully Achieved",I43)))</formula>
    </cfRule>
    <cfRule type="containsText" dxfId="4208" priority="854" operator="containsText" text="On track to be achieved">
      <formula>NOT(ISERROR(SEARCH("On track to be achieved",I43)))</formula>
    </cfRule>
  </conditionalFormatting>
  <conditionalFormatting sqref="S43">
    <cfRule type="containsText" dxfId="4207" priority="819" operator="containsText" text="Deferred">
      <formula>NOT(ISERROR(SEARCH("Deferred",S43)))</formula>
    </cfRule>
    <cfRule type="containsText" dxfId="4206" priority="820" operator="containsText" text="Update Not Provided">
      <formula>NOT(ISERROR(SEARCH("Update Not Provided",S43)))</formula>
    </cfRule>
    <cfRule type="containsText" dxfId="4205" priority="821" operator="containsText" text="Not Yet Due">
      <formula>NOT(ISERROR(SEARCH("Not Yet Due",S43)))</formula>
    </cfRule>
    <cfRule type="containsText" dxfId="4204" priority="822" operator="containsText" text="Deleted">
      <formula>NOT(ISERROR(SEARCH("Deleted",S43)))</formula>
    </cfRule>
    <cfRule type="containsText" dxfId="4203" priority="823" operator="containsText" text="Completed Behind Schedule">
      <formula>NOT(ISERROR(SEARCH("Completed Behind Schedule",S43)))</formula>
    </cfRule>
    <cfRule type="containsText" dxfId="4202" priority="824" operator="containsText" text="Off Target">
      <formula>NOT(ISERROR(SEARCH("Off Target",S43)))</formula>
    </cfRule>
    <cfRule type="containsText" dxfId="4201" priority="825" operator="containsText" text="In Danger of Falling Behind Target">
      <formula>NOT(ISERROR(SEARCH("In Danger of Falling Behind Target",S43)))</formula>
    </cfRule>
    <cfRule type="containsText" dxfId="4200" priority="826" operator="containsText" text="Fully Achieved">
      <formula>NOT(ISERROR(SEARCH("Fully Achieved",S43)))</formula>
    </cfRule>
    <cfRule type="containsText" dxfId="4199" priority="827" operator="containsText" text="On track to be achieved">
      <formula>NOT(ISERROR(SEARCH("On track to be achieved",S43)))</formula>
    </cfRule>
  </conditionalFormatting>
  <conditionalFormatting sqref="I48">
    <cfRule type="containsText" dxfId="4198" priority="800" operator="containsText" text="Deferred">
      <formula>NOT(ISERROR(SEARCH("Deferred",I48)))</formula>
    </cfRule>
    <cfRule type="containsText" dxfId="4197" priority="801" operator="containsText" text="Update Not Provided">
      <formula>NOT(ISERROR(SEARCH("Update Not Provided",I48)))</formula>
    </cfRule>
    <cfRule type="containsText" dxfId="4196" priority="802" operator="containsText" text="Not Yet Due">
      <formula>NOT(ISERROR(SEARCH("Not Yet Due",I48)))</formula>
    </cfRule>
    <cfRule type="containsText" dxfId="4195" priority="803" operator="containsText" text="Deleted">
      <formula>NOT(ISERROR(SEARCH("Deleted",I48)))</formula>
    </cfRule>
    <cfRule type="containsText" dxfId="4194" priority="804" operator="containsText" text="Completed Behind Schedule">
      <formula>NOT(ISERROR(SEARCH("Completed Behind Schedule",I48)))</formula>
    </cfRule>
    <cfRule type="containsText" dxfId="4193" priority="805" operator="containsText" text="Off Target">
      <formula>NOT(ISERROR(SEARCH("Off Target",I48)))</formula>
    </cfRule>
    <cfRule type="containsText" dxfId="4192" priority="806" operator="containsText" text="In Danger of Falling Behind Target">
      <formula>NOT(ISERROR(SEARCH("In Danger of Falling Behind Target",I48)))</formula>
    </cfRule>
    <cfRule type="containsText" dxfId="4191" priority="807" operator="containsText" text="Fully Achieved">
      <formula>NOT(ISERROR(SEARCH("Fully Achieved",I48)))</formula>
    </cfRule>
    <cfRule type="containsText" dxfId="4190" priority="808" operator="containsText" text="On track to be achieved">
      <formula>NOT(ISERROR(SEARCH("On track to be achieved",I48)))</formula>
    </cfRule>
  </conditionalFormatting>
  <conditionalFormatting sqref="S48">
    <cfRule type="containsText" dxfId="4189" priority="773" operator="containsText" text="Deferred">
      <formula>NOT(ISERROR(SEARCH("Deferred",S48)))</formula>
    </cfRule>
    <cfRule type="containsText" dxfId="4188" priority="774" operator="containsText" text="Update Not Provided">
      <formula>NOT(ISERROR(SEARCH("Update Not Provided",S48)))</formula>
    </cfRule>
    <cfRule type="containsText" dxfId="4187" priority="775" operator="containsText" text="Not Yet Due">
      <formula>NOT(ISERROR(SEARCH("Not Yet Due",S48)))</formula>
    </cfRule>
    <cfRule type="containsText" dxfId="4186" priority="776" operator="containsText" text="Deleted">
      <formula>NOT(ISERROR(SEARCH("Deleted",S48)))</formula>
    </cfRule>
    <cfRule type="containsText" dxfId="4185" priority="777" operator="containsText" text="Completed Behind Schedule">
      <formula>NOT(ISERROR(SEARCH("Completed Behind Schedule",S48)))</formula>
    </cfRule>
    <cfRule type="containsText" dxfId="4184" priority="778" operator="containsText" text="Off Target">
      <formula>NOT(ISERROR(SEARCH("Off Target",S48)))</formula>
    </cfRule>
    <cfRule type="containsText" dxfId="4183" priority="779" operator="containsText" text="In Danger of Falling Behind Target">
      <formula>NOT(ISERROR(SEARCH("In Danger of Falling Behind Target",S48)))</formula>
    </cfRule>
    <cfRule type="containsText" dxfId="4182" priority="780" operator="containsText" text="Fully Achieved">
      <formula>NOT(ISERROR(SEARCH("Fully Achieved",S48)))</formula>
    </cfRule>
    <cfRule type="containsText" dxfId="4181" priority="781" operator="containsText" text="On track to be achieved">
      <formula>NOT(ISERROR(SEARCH("On track to be achieved",S48)))</formula>
    </cfRule>
  </conditionalFormatting>
  <conditionalFormatting sqref="I45">
    <cfRule type="containsText" dxfId="4180" priority="754" operator="containsText" text="Deferred">
      <formula>NOT(ISERROR(SEARCH("Deferred",I45)))</formula>
    </cfRule>
    <cfRule type="containsText" dxfId="4179" priority="755" operator="containsText" text="Update Not Provided">
      <formula>NOT(ISERROR(SEARCH("Update Not Provided",I45)))</formula>
    </cfRule>
    <cfRule type="containsText" dxfId="4178" priority="756" operator="containsText" text="Not Yet Due">
      <formula>NOT(ISERROR(SEARCH("Not Yet Due",I45)))</formula>
    </cfRule>
    <cfRule type="containsText" dxfId="4177" priority="757" operator="containsText" text="Deleted">
      <formula>NOT(ISERROR(SEARCH("Deleted",I45)))</formula>
    </cfRule>
    <cfRule type="containsText" dxfId="4176" priority="758" operator="containsText" text="Completed Behind Schedule">
      <formula>NOT(ISERROR(SEARCH("Completed Behind Schedule",I45)))</formula>
    </cfRule>
    <cfRule type="containsText" dxfId="4175" priority="759" operator="containsText" text="Off Target">
      <formula>NOT(ISERROR(SEARCH("Off Target",I45)))</formula>
    </cfRule>
    <cfRule type="containsText" dxfId="4174" priority="760" operator="containsText" text="In Danger of Falling Behind Target">
      <formula>NOT(ISERROR(SEARCH("In Danger of Falling Behind Target",I45)))</formula>
    </cfRule>
    <cfRule type="containsText" dxfId="4173" priority="761" operator="containsText" text="Fully Achieved">
      <formula>NOT(ISERROR(SEARCH("Fully Achieved",I45)))</formula>
    </cfRule>
    <cfRule type="containsText" dxfId="4172" priority="762" operator="containsText" text="On track to be achieved">
      <formula>NOT(ISERROR(SEARCH("On track to be achieved",I45)))</formula>
    </cfRule>
  </conditionalFormatting>
  <conditionalFormatting sqref="S45">
    <cfRule type="containsText" dxfId="4171" priority="727" operator="containsText" text="Deferred">
      <formula>NOT(ISERROR(SEARCH("Deferred",S45)))</formula>
    </cfRule>
    <cfRule type="containsText" dxfId="4170" priority="728" operator="containsText" text="Update Not Provided">
      <formula>NOT(ISERROR(SEARCH("Update Not Provided",S45)))</formula>
    </cfRule>
    <cfRule type="containsText" dxfId="4169" priority="729" operator="containsText" text="Not Yet Due">
      <formula>NOT(ISERROR(SEARCH("Not Yet Due",S45)))</formula>
    </cfRule>
    <cfRule type="containsText" dxfId="4168" priority="730" operator="containsText" text="Deleted">
      <formula>NOT(ISERROR(SEARCH("Deleted",S45)))</formula>
    </cfRule>
    <cfRule type="containsText" dxfId="4167" priority="731" operator="containsText" text="Completed Behind Schedule">
      <formula>NOT(ISERROR(SEARCH("Completed Behind Schedule",S45)))</formula>
    </cfRule>
    <cfRule type="containsText" dxfId="4166" priority="732" operator="containsText" text="Off Target">
      <formula>NOT(ISERROR(SEARCH("Off Target",S45)))</formula>
    </cfRule>
    <cfRule type="containsText" dxfId="4165" priority="733" operator="containsText" text="In Danger of Falling Behind Target">
      <formula>NOT(ISERROR(SEARCH("In Danger of Falling Behind Target",S45)))</formula>
    </cfRule>
    <cfRule type="containsText" dxfId="4164" priority="734" operator="containsText" text="Fully Achieved">
      <formula>NOT(ISERROR(SEARCH("Fully Achieved",S45)))</formula>
    </cfRule>
    <cfRule type="containsText" dxfId="4163" priority="735" operator="containsText" text="On track to be achieved">
      <formula>NOT(ISERROR(SEARCH("On track to be achieved",S45)))</formula>
    </cfRule>
  </conditionalFormatting>
  <conditionalFormatting sqref="I74 S74">
    <cfRule type="containsText" dxfId="4162" priority="312" operator="containsText" text="Deferred">
      <formula>NOT(ISERROR(SEARCH("Deferred",I74)))</formula>
    </cfRule>
    <cfRule type="containsText" dxfId="4161" priority="313" operator="containsText" text="Update Not Provided">
      <formula>NOT(ISERROR(SEARCH("Update Not Provided",I74)))</formula>
    </cfRule>
    <cfRule type="containsText" dxfId="4160" priority="314" operator="containsText" text="Not Yet Due">
      <formula>NOT(ISERROR(SEARCH("Not Yet Due",I74)))</formula>
    </cfRule>
    <cfRule type="containsText" dxfId="4159" priority="315" operator="containsText" text="Deleted">
      <formula>NOT(ISERROR(SEARCH("Deleted",I74)))</formula>
    </cfRule>
    <cfRule type="containsText" dxfId="4158" priority="316" operator="containsText" text="Completed Behind Schedule">
      <formula>NOT(ISERROR(SEARCH("Completed Behind Schedule",I74)))</formula>
    </cfRule>
    <cfRule type="containsText" dxfId="4157" priority="317" operator="containsText" text="Off Target">
      <formula>NOT(ISERROR(SEARCH("Off Target",I74)))</formula>
    </cfRule>
    <cfRule type="containsText" dxfId="4156" priority="318" operator="containsText" text="In Danger of Falling Behind Target">
      <formula>NOT(ISERROR(SEARCH("In Danger of Falling Behind Target",I74)))</formula>
    </cfRule>
    <cfRule type="containsText" dxfId="4155" priority="319" operator="containsText" text="Fully Achieved">
      <formula>NOT(ISERROR(SEARCH("Fully Achieved",I74)))</formula>
    </cfRule>
    <cfRule type="containsText" dxfId="4154" priority="320" operator="containsText" text="On track to be achieved">
      <formula>NOT(ISERROR(SEARCH("On track to be achieved",I74)))</formula>
    </cfRule>
  </conditionalFormatting>
  <conditionalFormatting sqref="S77">
    <cfRule type="containsText" dxfId="4153" priority="294" operator="containsText" text="Deferred">
      <formula>NOT(ISERROR(SEARCH("Deferred",S77)))</formula>
    </cfRule>
    <cfRule type="containsText" dxfId="4152" priority="295" operator="containsText" text="Update Not Provided">
      <formula>NOT(ISERROR(SEARCH("Update Not Provided",S77)))</formula>
    </cfRule>
    <cfRule type="containsText" dxfId="4151" priority="296" operator="containsText" text="Not Yet Due">
      <formula>NOT(ISERROR(SEARCH("Not Yet Due",S77)))</formula>
    </cfRule>
    <cfRule type="containsText" dxfId="4150" priority="297" operator="containsText" text="Deleted">
      <formula>NOT(ISERROR(SEARCH("Deleted",S77)))</formula>
    </cfRule>
    <cfRule type="containsText" dxfId="4149" priority="298" operator="containsText" text="Completed Behind Schedule">
      <formula>NOT(ISERROR(SEARCH("Completed Behind Schedule",S77)))</formula>
    </cfRule>
    <cfRule type="containsText" dxfId="4148" priority="299" operator="containsText" text="Off Target">
      <formula>NOT(ISERROR(SEARCH("Off Target",S77)))</formula>
    </cfRule>
    <cfRule type="containsText" dxfId="4147" priority="300" operator="containsText" text="In Danger of Falling Behind Target">
      <formula>NOT(ISERROR(SEARCH("In Danger of Falling Behind Target",S77)))</formula>
    </cfRule>
    <cfRule type="containsText" dxfId="4146" priority="301" operator="containsText" text="Fully Achieved">
      <formula>NOT(ISERROR(SEARCH("Fully Achieved",S77)))</formula>
    </cfRule>
    <cfRule type="containsText" dxfId="4145" priority="302" operator="containsText" text="On track to be achieved">
      <formula>NOT(ISERROR(SEARCH("On track to be achieved",S77)))</formula>
    </cfRule>
  </conditionalFormatting>
  <conditionalFormatting sqref="S76">
    <cfRule type="containsText" dxfId="4144" priority="276" operator="containsText" text="Deferred">
      <formula>NOT(ISERROR(SEARCH("Deferred",S76)))</formula>
    </cfRule>
    <cfRule type="containsText" dxfId="4143" priority="277" operator="containsText" text="Update Not Provided">
      <formula>NOT(ISERROR(SEARCH("Update Not Provided",S76)))</formula>
    </cfRule>
    <cfRule type="containsText" dxfId="4142" priority="278" operator="containsText" text="Not Yet Due">
      <formula>NOT(ISERROR(SEARCH("Not Yet Due",S76)))</formula>
    </cfRule>
    <cfRule type="containsText" dxfId="4141" priority="279" operator="containsText" text="Deleted">
      <formula>NOT(ISERROR(SEARCH("Deleted",S76)))</formula>
    </cfRule>
    <cfRule type="containsText" dxfId="4140" priority="280" operator="containsText" text="Completed Behind Schedule">
      <formula>NOT(ISERROR(SEARCH("Completed Behind Schedule",S76)))</formula>
    </cfRule>
    <cfRule type="containsText" dxfId="4139" priority="281" operator="containsText" text="Off Target">
      <formula>NOT(ISERROR(SEARCH("Off Target",S76)))</formula>
    </cfRule>
    <cfRule type="containsText" dxfId="4138" priority="282" operator="containsText" text="In Danger of Falling Behind Target">
      <formula>NOT(ISERROR(SEARCH("In Danger of Falling Behind Target",S76)))</formula>
    </cfRule>
    <cfRule type="containsText" dxfId="4137" priority="283" operator="containsText" text="Fully Achieved">
      <formula>NOT(ISERROR(SEARCH("Fully Achieved",S76)))</formula>
    </cfRule>
    <cfRule type="containsText" dxfId="4136" priority="284" operator="containsText" text="On track to be achieved">
      <formula>NOT(ISERROR(SEARCH("On track to be achieved",S76)))</formula>
    </cfRule>
  </conditionalFormatting>
  <conditionalFormatting sqref="I79 S79">
    <cfRule type="containsText" dxfId="4135" priority="258" operator="containsText" text="Deferred">
      <formula>NOT(ISERROR(SEARCH("Deferred",I79)))</formula>
    </cfRule>
    <cfRule type="containsText" dxfId="4134" priority="259" operator="containsText" text="Update Not Provided">
      <formula>NOT(ISERROR(SEARCH("Update Not Provided",I79)))</formula>
    </cfRule>
    <cfRule type="containsText" dxfId="4133" priority="260" operator="containsText" text="Not Yet Due">
      <formula>NOT(ISERROR(SEARCH("Not Yet Due",I79)))</formula>
    </cfRule>
    <cfRule type="containsText" dxfId="4132" priority="261" operator="containsText" text="Deleted">
      <formula>NOT(ISERROR(SEARCH("Deleted",I79)))</formula>
    </cfRule>
    <cfRule type="containsText" dxfId="4131" priority="262" operator="containsText" text="Completed Behind Schedule">
      <formula>NOT(ISERROR(SEARCH("Completed Behind Schedule",I79)))</formula>
    </cfRule>
    <cfRule type="containsText" dxfId="4130" priority="263" operator="containsText" text="Off Target">
      <formula>NOT(ISERROR(SEARCH("Off Target",I79)))</formula>
    </cfRule>
    <cfRule type="containsText" dxfId="4129" priority="264" operator="containsText" text="In Danger of Falling Behind Target">
      <formula>NOT(ISERROR(SEARCH("In Danger of Falling Behind Target",I79)))</formula>
    </cfRule>
    <cfRule type="containsText" dxfId="4128" priority="265" operator="containsText" text="Fully Achieved">
      <formula>NOT(ISERROR(SEARCH("Fully Achieved",I79)))</formula>
    </cfRule>
    <cfRule type="containsText" dxfId="4127" priority="266" operator="containsText" text="On track to be achieved">
      <formula>NOT(ISERROR(SEARCH("On track to be achieved",I79)))</formula>
    </cfRule>
  </conditionalFormatting>
  <conditionalFormatting sqref="S83">
    <cfRule type="containsText" dxfId="4126" priority="240" operator="containsText" text="Deferred">
      <formula>NOT(ISERROR(SEARCH("Deferred",S83)))</formula>
    </cfRule>
    <cfRule type="containsText" dxfId="4125" priority="241" operator="containsText" text="Update Not Provided">
      <formula>NOT(ISERROR(SEARCH("Update Not Provided",S83)))</formula>
    </cfRule>
    <cfRule type="containsText" dxfId="4124" priority="242" operator="containsText" text="Not Yet Due">
      <formula>NOT(ISERROR(SEARCH("Not Yet Due",S83)))</formula>
    </cfRule>
    <cfRule type="containsText" dxfId="4123" priority="243" operator="containsText" text="Deleted">
      <formula>NOT(ISERROR(SEARCH("Deleted",S83)))</formula>
    </cfRule>
    <cfRule type="containsText" dxfId="4122" priority="244" operator="containsText" text="Completed Behind Schedule">
      <formula>NOT(ISERROR(SEARCH("Completed Behind Schedule",S83)))</formula>
    </cfRule>
    <cfRule type="containsText" dxfId="4121" priority="245" operator="containsText" text="Off Target">
      <formula>NOT(ISERROR(SEARCH("Off Target",S83)))</formula>
    </cfRule>
    <cfRule type="containsText" dxfId="4120" priority="246" operator="containsText" text="In Danger of Falling Behind Target">
      <formula>NOT(ISERROR(SEARCH("In Danger of Falling Behind Target",S83)))</formula>
    </cfRule>
    <cfRule type="containsText" dxfId="4119" priority="247" operator="containsText" text="Fully Achieved">
      <formula>NOT(ISERROR(SEARCH("Fully Achieved",S83)))</formula>
    </cfRule>
    <cfRule type="containsText" dxfId="4118" priority="248" operator="containsText" text="On track to be achieved">
      <formula>NOT(ISERROR(SEARCH("On track to be achieved",S83)))</formula>
    </cfRule>
  </conditionalFormatting>
  <conditionalFormatting sqref="W4:W81 W83:W95 W97:W111">
    <cfRule type="containsText" dxfId="4117" priority="174" operator="containsText" text="Deleted">
      <formula>NOT(ISERROR(SEARCH("Deleted",W4)))</formula>
    </cfRule>
    <cfRule type="containsText" dxfId="4116" priority="175" operator="containsText" text="Deferred">
      <formula>NOT(ISERROR(SEARCH("Deferred",W4)))</formula>
    </cfRule>
    <cfRule type="containsText" dxfId="4115" priority="176" operator="containsText" text="Completion date within reasonable tolerance">
      <formula>NOT(ISERROR(SEARCH("Completion date within reasonable tolerance",W4)))</formula>
    </cfRule>
    <cfRule type="containsText" dxfId="4114" priority="177" operator="containsText" text="completed significantly after target deadline">
      <formula>NOT(ISERROR(SEARCH("completed significantly after target deadline",W4)))</formula>
    </cfRule>
    <cfRule type="containsText" dxfId="4113" priority="178" operator="containsText" text="Off target">
      <formula>NOT(ISERROR(SEARCH("Off target",W4)))</formula>
    </cfRule>
    <cfRule type="containsText" dxfId="4112" priority="179" operator="containsText" text="Target partially met">
      <formula>NOT(ISERROR(SEARCH("Target partially met",W4)))</formula>
    </cfRule>
    <cfRule type="containsText" dxfId="4111" priority="180" operator="containsText" text="Numerical outturn within 10% tolerance">
      <formula>NOT(ISERROR(SEARCH("Numerical outturn within 10% tolerance",W4)))</formula>
    </cfRule>
    <cfRule type="containsText" dxfId="4110" priority="181" operator="containsText" text="Numerical outturn within 5% Tolerance">
      <formula>NOT(ISERROR(SEARCH("Numerical outturn within 5% Tolerance",W4)))</formula>
    </cfRule>
    <cfRule type="containsText" dxfId="4109" priority="182" operator="containsText" text="Fully Achieved">
      <formula>NOT(ISERROR(SEARCH("Fully Achieved",W4)))</formula>
    </cfRule>
    <cfRule type="containsText" dxfId="4108" priority="183" operator="containsText" text="Update Not Provided">
      <formula>NOT(ISERROR(SEARCH("Update Not Provided",W4)))</formula>
    </cfRule>
    <cfRule type="containsText" dxfId="4107" priority="184" operator="containsText" text="Deferred">
      <formula>NOT(ISERROR(SEARCH("Deferred",W4)))</formula>
    </cfRule>
    <cfRule type="containsText" dxfId="4106" priority="185" operator="containsText" text="Update Not Provided">
      <formula>NOT(ISERROR(SEARCH("Update Not Provided",W4)))</formula>
    </cfRule>
    <cfRule type="containsText" dxfId="4105" priority="186" operator="containsText" text="Not Yet Due">
      <formula>NOT(ISERROR(SEARCH("Not Yet Due",W4)))</formula>
    </cfRule>
    <cfRule type="containsText" dxfId="4104" priority="187" operator="containsText" text="Deleted">
      <formula>NOT(ISERROR(SEARCH("Deleted",W4)))</formula>
    </cfRule>
    <cfRule type="containsText" dxfId="4103" priority="188" operator="containsText" text="Completed Behind Schedule">
      <formula>NOT(ISERROR(SEARCH("Completed Behind Schedule",W4)))</formula>
    </cfRule>
    <cfRule type="containsText" dxfId="4102" priority="189" operator="containsText" text="Off Target">
      <formula>NOT(ISERROR(SEARCH("Off Target",W4)))</formula>
    </cfRule>
    <cfRule type="containsText" dxfId="4101" priority="190" operator="containsText" text="In Danger of Falling Behind Target">
      <formula>NOT(ISERROR(SEARCH("In Danger of Falling Behind Target",W4)))</formula>
    </cfRule>
    <cfRule type="containsText" dxfId="4100" priority="191" operator="containsText" text="Fully Achieved">
      <formula>NOT(ISERROR(SEARCH("Fully Achieved",W4)))</formula>
    </cfRule>
    <cfRule type="containsText" dxfId="4099" priority="192" operator="containsText" text="On track to be achieved">
      <formula>NOT(ISERROR(SEARCH("On track to be achieved",W4)))</formula>
    </cfRule>
  </conditionalFormatting>
  <conditionalFormatting sqref="I5">
    <cfRule type="containsText" dxfId="4098" priority="165" operator="containsText" text="Deferred">
      <formula>NOT(ISERROR(SEARCH("Deferred",I5)))</formula>
    </cfRule>
    <cfRule type="containsText" dxfId="4097" priority="166" operator="containsText" text="Update Not Provided">
      <formula>NOT(ISERROR(SEARCH("Update Not Provided",I5)))</formula>
    </cfRule>
    <cfRule type="containsText" dxfId="4096" priority="167" operator="containsText" text="Not Yet Due">
      <formula>NOT(ISERROR(SEARCH("Not Yet Due",I5)))</formula>
    </cfRule>
    <cfRule type="containsText" dxfId="4095" priority="168" operator="containsText" text="Deleted">
      <formula>NOT(ISERROR(SEARCH("Deleted",I5)))</formula>
    </cfRule>
    <cfRule type="containsText" dxfId="4094" priority="169" operator="containsText" text="Completed Behind Schedule">
      <formula>NOT(ISERROR(SEARCH("Completed Behind Schedule",I5)))</formula>
    </cfRule>
    <cfRule type="containsText" dxfId="4093" priority="170" operator="containsText" text="Off Target">
      <formula>NOT(ISERROR(SEARCH("Off Target",I5)))</formula>
    </cfRule>
    <cfRule type="containsText" dxfId="4092" priority="171" operator="containsText" text="In Danger of Falling Behind Target">
      <formula>NOT(ISERROR(SEARCH("In Danger of Falling Behind Target",I5)))</formula>
    </cfRule>
    <cfRule type="containsText" dxfId="4091" priority="172" operator="containsText" text="Fully Achieved">
      <formula>NOT(ISERROR(SEARCH("Fully Achieved",I5)))</formula>
    </cfRule>
    <cfRule type="containsText" dxfId="4090" priority="173" operator="containsText" text="On track to be achieved">
      <formula>NOT(ISERROR(SEARCH("On track to be achieved",I5)))</formula>
    </cfRule>
  </conditionalFormatting>
  <conditionalFormatting sqref="I6">
    <cfRule type="containsText" dxfId="4089" priority="156" operator="containsText" text="Deferred">
      <formula>NOT(ISERROR(SEARCH("Deferred",I6)))</formula>
    </cfRule>
    <cfRule type="containsText" dxfId="4088" priority="157" operator="containsText" text="Update Not Provided">
      <formula>NOT(ISERROR(SEARCH("Update Not Provided",I6)))</formula>
    </cfRule>
    <cfRule type="containsText" dxfId="4087" priority="158" operator="containsText" text="Not Yet Due">
      <formula>NOT(ISERROR(SEARCH("Not Yet Due",I6)))</formula>
    </cfRule>
    <cfRule type="containsText" dxfId="4086" priority="159" operator="containsText" text="Deleted">
      <formula>NOT(ISERROR(SEARCH("Deleted",I6)))</formula>
    </cfRule>
    <cfRule type="containsText" dxfId="4085" priority="160" operator="containsText" text="Completed Behind Schedule">
      <formula>NOT(ISERROR(SEARCH("Completed Behind Schedule",I6)))</formula>
    </cfRule>
    <cfRule type="containsText" dxfId="4084" priority="161" operator="containsText" text="Off Target">
      <formula>NOT(ISERROR(SEARCH("Off Target",I6)))</formula>
    </cfRule>
    <cfRule type="containsText" dxfId="4083" priority="162" operator="containsText" text="In Danger of Falling Behind Target">
      <formula>NOT(ISERROR(SEARCH("In Danger of Falling Behind Target",I6)))</formula>
    </cfRule>
    <cfRule type="containsText" dxfId="4082" priority="163" operator="containsText" text="Fully Achieved">
      <formula>NOT(ISERROR(SEARCH("Fully Achieved",I6)))</formula>
    </cfRule>
    <cfRule type="containsText" dxfId="4081" priority="164" operator="containsText" text="On track to be achieved">
      <formula>NOT(ISERROR(SEARCH("On track to be achieved",I6)))</formula>
    </cfRule>
  </conditionalFormatting>
  <conditionalFormatting sqref="I16">
    <cfRule type="containsText" dxfId="4080" priority="147" operator="containsText" text="Deferred">
      <formula>NOT(ISERROR(SEARCH("Deferred",I16)))</formula>
    </cfRule>
    <cfRule type="containsText" dxfId="4079" priority="148" operator="containsText" text="Update Not Provided">
      <formula>NOT(ISERROR(SEARCH("Update Not Provided",I16)))</formula>
    </cfRule>
    <cfRule type="containsText" dxfId="4078" priority="149" operator="containsText" text="Not Yet Due">
      <formula>NOT(ISERROR(SEARCH("Not Yet Due",I16)))</formula>
    </cfRule>
    <cfRule type="containsText" dxfId="4077" priority="150" operator="containsText" text="Deleted">
      <formula>NOT(ISERROR(SEARCH("Deleted",I16)))</formula>
    </cfRule>
    <cfRule type="containsText" dxfId="4076" priority="151" operator="containsText" text="Completed Behind Schedule">
      <formula>NOT(ISERROR(SEARCH("Completed Behind Schedule",I16)))</formula>
    </cfRule>
    <cfRule type="containsText" dxfId="4075" priority="152" operator="containsText" text="Off Target">
      <formula>NOT(ISERROR(SEARCH("Off Target",I16)))</formula>
    </cfRule>
    <cfRule type="containsText" dxfId="4074" priority="153" operator="containsText" text="In Danger of Falling Behind Target">
      <formula>NOT(ISERROR(SEARCH("In Danger of Falling Behind Target",I16)))</formula>
    </cfRule>
    <cfRule type="containsText" dxfId="4073" priority="154" operator="containsText" text="Fully Achieved">
      <formula>NOT(ISERROR(SEARCH("Fully Achieved",I16)))</formula>
    </cfRule>
    <cfRule type="containsText" dxfId="4072" priority="155" operator="containsText" text="On track to be achieved">
      <formula>NOT(ISERROR(SEARCH("On track to be achieved",I16)))</formula>
    </cfRule>
  </conditionalFormatting>
  <conditionalFormatting sqref="I50">
    <cfRule type="containsText" dxfId="4071" priority="138" operator="containsText" text="Deferred">
      <formula>NOT(ISERROR(SEARCH("Deferred",I50)))</formula>
    </cfRule>
    <cfRule type="containsText" dxfId="4070" priority="139" operator="containsText" text="Update Not Provided">
      <formula>NOT(ISERROR(SEARCH("Update Not Provided",I50)))</formula>
    </cfRule>
    <cfRule type="containsText" dxfId="4069" priority="140" operator="containsText" text="Not Yet Due">
      <formula>NOT(ISERROR(SEARCH("Not Yet Due",I50)))</formula>
    </cfRule>
    <cfRule type="containsText" dxfId="4068" priority="141" operator="containsText" text="Deleted">
      <formula>NOT(ISERROR(SEARCH("Deleted",I50)))</formula>
    </cfRule>
    <cfRule type="containsText" dxfId="4067" priority="142" operator="containsText" text="Completed Behind Schedule">
      <formula>NOT(ISERROR(SEARCH("Completed Behind Schedule",I50)))</formula>
    </cfRule>
    <cfRule type="containsText" dxfId="4066" priority="143" operator="containsText" text="Off Target">
      <formula>NOT(ISERROR(SEARCH("Off Target",I50)))</formula>
    </cfRule>
    <cfRule type="containsText" dxfId="4065" priority="144" operator="containsText" text="In Danger of Falling Behind Target">
      <formula>NOT(ISERROR(SEARCH("In Danger of Falling Behind Target",I50)))</formula>
    </cfRule>
    <cfRule type="containsText" dxfId="4064" priority="145" operator="containsText" text="Fully Achieved">
      <formula>NOT(ISERROR(SEARCH("Fully Achieved",I50)))</formula>
    </cfRule>
    <cfRule type="containsText" dxfId="4063" priority="146" operator="containsText" text="On track to be achieved">
      <formula>NOT(ISERROR(SEARCH("On track to be achieved",I50)))</formula>
    </cfRule>
  </conditionalFormatting>
  <conditionalFormatting sqref="I54">
    <cfRule type="containsText" dxfId="4062" priority="129" operator="containsText" text="Deferred">
      <formula>NOT(ISERROR(SEARCH("Deferred",I54)))</formula>
    </cfRule>
    <cfRule type="containsText" dxfId="4061" priority="130" operator="containsText" text="Update Not Provided">
      <formula>NOT(ISERROR(SEARCH("Update Not Provided",I54)))</formula>
    </cfRule>
    <cfRule type="containsText" dxfId="4060" priority="131" operator="containsText" text="Not Yet Due">
      <formula>NOT(ISERROR(SEARCH("Not Yet Due",I54)))</formula>
    </cfRule>
    <cfRule type="containsText" dxfId="4059" priority="132" operator="containsText" text="Deleted">
      <formula>NOT(ISERROR(SEARCH("Deleted",I54)))</formula>
    </cfRule>
    <cfRule type="containsText" dxfId="4058" priority="133" operator="containsText" text="Completed Behind Schedule">
      <formula>NOT(ISERROR(SEARCH("Completed Behind Schedule",I54)))</formula>
    </cfRule>
    <cfRule type="containsText" dxfId="4057" priority="134" operator="containsText" text="Off Target">
      <formula>NOT(ISERROR(SEARCH("Off Target",I54)))</formula>
    </cfRule>
    <cfRule type="containsText" dxfId="4056" priority="135" operator="containsText" text="In Danger of Falling Behind Target">
      <formula>NOT(ISERROR(SEARCH("In Danger of Falling Behind Target",I54)))</formula>
    </cfRule>
    <cfRule type="containsText" dxfId="4055" priority="136" operator="containsText" text="Fully Achieved">
      <formula>NOT(ISERROR(SEARCH("Fully Achieved",I54)))</formula>
    </cfRule>
    <cfRule type="containsText" dxfId="4054" priority="137" operator="containsText" text="On track to be achieved">
      <formula>NOT(ISERROR(SEARCH("On track to be achieved",I54)))</formula>
    </cfRule>
  </conditionalFormatting>
  <conditionalFormatting sqref="I75">
    <cfRule type="containsText" dxfId="4053" priority="120" operator="containsText" text="Deferred">
      <formula>NOT(ISERROR(SEARCH("Deferred",I75)))</formula>
    </cfRule>
    <cfRule type="containsText" dxfId="4052" priority="121" operator="containsText" text="Update Not Provided">
      <formula>NOT(ISERROR(SEARCH("Update Not Provided",I75)))</formula>
    </cfRule>
    <cfRule type="containsText" dxfId="4051" priority="122" operator="containsText" text="Not Yet Due">
      <formula>NOT(ISERROR(SEARCH("Not Yet Due",I75)))</formula>
    </cfRule>
    <cfRule type="containsText" dxfId="4050" priority="123" operator="containsText" text="Deleted">
      <formula>NOT(ISERROR(SEARCH("Deleted",I75)))</formula>
    </cfRule>
    <cfRule type="containsText" dxfId="4049" priority="124" operator="containsText" text="Completed Behind Schedule">
      <formula>NOT(ISERROR(SEARCH("Completed Behind Schedule",I75)))</formula>
    </cfRule>
    <cfRule type="containsText" dxfId="4048" priority="125" operator="containsText" text="Off Target">
      <formula>NOT(ISERROR(SEARCH("Off Target",I75)))</formula>
    </cfRule>
    <cfRule type="containsText" dxfId="4047" priority="126" operator="containsText" text="In Danger of Falling Behind Target">
      <formula>NOT(ISERROR(SEARCH("In Danger of Falling Behind Target",I75)))</formula>
    </cfRule>
    <cfRule type="containsText" dxfId="4046" priority="127" operator="containsText" text="Fully Achieved">
      <formula>NOT(ISERROR(SEARCH("Fully Achieved",I75)))</formula>
    </cfRule>
    <cfRule type="containsText" dxfId="4045" priority="128" operator="containsText" text="On track to be achieved">
      <formula>NOT(ISERROR(SEARCH("On track to be achieved",I75)))</formula>
    </cfRule>
  </conditionalFormatting>
  <conditionalFormatting sqref="I76">
    <cfRule type="containsText" dxfId="4044" priority="111" operator="containsText" text="Deferred">
      <formula>NOT(ISERROR(SEARCH("Deferred",I76)))</formula>
    </cfRule>
    <cfRule type="containsText" dxfId="4043" priority="112" operator="containsText" text="Update Not Provided">
      <formula>NOT(ISERROR(SEARCH("Update Not Provided",I76)))</formula>
    </cfRule>
    <cfRule type="containsText" dxfId="4042" priority="113" operator="containsText" text="Not Yet Due">
      <formula>NOT(ISERROR(SEARCH("Not Yet Due",I76)))</formula>
    </cfRule>
    <cfRule type="containsText" dxfId="4041" priority="114" operator="containsText" text="Deleted">
      <formula>NOT(ISERROR(SEARCH("Deleted",I76)))</formula>
    </cfRule>
    <cfRule type="containsText" dxfId="4040" priority="115" operator="containsText" text="Completed Behind Schedule">
      <formula>NOT(ISERROR(SEARCH("Completed Behind Schedule",I76)))</formula>
    </cfRule>
    <cfRule type="containsText" dxfId="4039" priority="116" operator="containsText" text="Off Target">
      <formula>NOT(ISERROR(SEARCH("Off Target",I76)))</formula>
    </cfRule>
    <cfRule type="containsText" dxfId="4038" priority="117" operator="containsText" text="In Danger of Falling Behind Target">
      <formula>NOT(ISERROR(SEARCH("In Danger of Falling Behind Target",I76)))</formula>
    </cfRule>
    <cfRule type="containsText" dxfId="4037" priority="118" operator="containsText" text="Fully Achieved">
      <formula>NOT(ISERROR(SEARCH("Fully Achieved",I76)))</formula>
    </cfRule>
    <cfRule type="containsText" dxfId="4036" priority="119" operator="containsText" text="On track to be achieved">
      <formula>NOT(ISERROR(SEARCH("On track to be achieved",I76)))</formula>
    </cfRule>
  </conditionalFormatting>
  <conditionalFormatting sqref="I77">
    <cfRule type="containsText" dxfId="4035" priority="102" operator="containsText" text="Deferred">
      <formula>NOT(ISERROR(SEARCH("Deferred",I77)))</formula>
    </cfRule>
    <cfRule type="containsText" dxfId="4034" priority="103" operator="containsText" text="Update Not Provided">
      <formula>NOT(ISERROR(SEARCH("Update Not Provided",I77)))</formula>
    </cfRule>
    <cfRule type="containsText" dxfId="4033" priority="104" operator="containsText" text="Not Yet Due">
      <formula>NOT(ISERROR(SEARCH("Not Yet Due",I77)))</formula>
    </cfRule>
    <cfRule type="containsText" dxfId="4032" priority="105" operator="containsText" text="Deleted">
      <formula>NOT(ISERROR(SEARCH("Deleted",I77)))</formula>
    </cfRule>
    <cfRule type="containsText" dxfId="4031" priority="106" operator="containsText" text="Completed Behind Schedule">
      <formula>NOT(ISERROR(SEARCH("Completed Behind Schedule",I77)))</formula>
    </cfRule>
    <cfRule type="containsText" dxfId="4030" priority="107" operator="containsText" text="Off Target">
      <formula>NOT(ISERROR(SEARCH("Off Target",I77)))</formula>
    </cfRule>
    <cfRule type="containsText" dxfId="4029" priority="108" operator="containsText" text="In Danger of Falling Behind Target">
      <formula>NOT(ISERROR(SEARCH("In Danger of Falling Behind Target",I77)))</formula>
    </cfRule>
    <cfRule type="containsText" dxfId="4028" priority="109" operator="containsText" text="Fully Achieved">
      <formula>NOT(ISERROR(SEARCH("Fully Achieved",I77)))</formula>
    </cfRule>
    <cfRule type="containsText" dxfId="4027" priority="110" operator="containsText" text="On track to be achieved">
      <formula>NOT(ISERROR(SEARCH("On track to be achieved",I77)))</formula>
    </cfRule>
  </conditionalFormatting>
  <conditionalFormatting sqref="I80">
    <cfRule type="containsText" dxfId="4026" priority="93" operator="containsText" text="Deferred">
      <formula>NOT(ISERROR(SEARCH("Deferred",I80)))</formula>
    </cfRule>
    <cfRule type="containsText" dxfId="4025" priority="94" operator="containsText" text="Update Not Provided">
      <formula>NOT(ISERROR(SEARCH("Update Not Provided",I80)))</formula>
    </cfRule>
    <cfRule type="containsText" dxfId="4024" priority="95" operator="containsText" text="Not Yet Due">
      <formula>NOT(ISERROR(SEARCH("Not Yet Due",I80)))</formula>
    </cfRule>
    <cfRule type="containsText" dxfId="4023" priority="96" operator="containsText" text="Deleted">
      <formula>NOT(ISERROR(SEARCH("Deleted",I80)))</formula>
    </cfRule>
    <cfRule type="containsText" dxfId="4022" priority="97" operator="containsText" text="Completed Behind Schedule">
      <formula>NOT(ISERROR(SEARCH("Completed Behind Schedule",I80)))</formula>
    </cfRule>
    <cfRule type="containsText" dxfId="4021" priority="98" operator="containsText" text="Off Target">
      <formula>NOT(ISERROR(SEARCH("Off Target",I80)))</formula>
    </cfRule>
    <cfRule type="containsText" dxfId="4020" priority="99" operator="containsText" text="In Danger of Falling Behind Target">
      <formula>NOT(ISERROR(SEARCH("In Danger of Falling Behind Target",I80)))</formula>
    </cfRule>
    <cfRule type="containsText" dxfId="4019" priority="100" operator="containsText" text="Fully Achieved">
      <formula>NOT(ISERROR(SEARCH("Fully Achieved",I80)))</formula>
    </cfRule>
    <cfRule type="containsText" dxfId="4018" priority="101" operator="containsText" text="On track to be achieved">
      <formula>NOT(ISERROR(SEARCH("On track to be achieved",I80)))</formula>
    </cfRule>
  </conditionalFormatting>
  <conditionalFormatting sqref="I81">
    <cfRule type="containsText" dxfId="4017" priority="84" operator="containsText" text="Deferred">
      <formula>NOT(ISERROR(SEARCH("Deferred",I81)))</formula>
    </cfRule>
    <cfRule type="containsText" dxfId="4016" priority="85" operator="containsText" text="Update Not Provided">
      <formula>NOT(ISERROR(SEARCH("Update Not Provided",I81)))</formula>
    </cfRule>
    <cfRule type="containsText" dxfId="4015" priority="86" operator="containsText" text="Not Yet Due">
      <formula>NOT(ISERROR(SEARCH("Not Yet Due",I81)))</formula>
    </cfRule>
    <cfRule type="containsText" dxfId="4014" priority="87" operator="containsText" text="Deleted">
      <formula>NOT(ISERROR(SEARCH("Deleted",I81)))</formula>
    </cfRule>
    <cfRule type="containsText" dxfId="4013" priority="88" operator="containsText" text="Completed Behind Schedule">
      <formula>NOT(ISERROR(SEARCH("Completed Behind Schedule",I81)))</formula>
    </cfRule>
    <cfRule type="containsText" dxfId="4012" priority="89" operator="containsText" text="Off Target">
      <formula>NOT(ISERROR(SEARCH("Off Target",I81)))</formula>
    </cfRule>
    <cfRule type="containsText" dxfId="4011" priority="90" operator="containsText" text="In Danger of Falling Behind Target">
      <formula>NOT(ISERROR(SEARCH("In Danger of Falling Behind Target",I81)))</formula>
    </cfRule>
    <cfRule type="containsText" dxfId="4010" priority="91" operator="containsText" text="Fully Achieved">
      <formula>NOT(ISERROR(SEARCH("Fully Achieved",I81)))</formula>
    </cfRule>
    <cfRule type="containsText" dxfId="4009" priority="92" operator="containsText" text="On track to be achieved">
      <formula>NOT(ISERROR(SEARCH("On track to be achieved",I81)))</formula>
    </cfRule>
  </conditionalFormatting>
  <conditionalFormatting sqref="I83">
    <cfRule type="containsText" dxfId="4008" priority="75" operator="containsText" text="Deferred">
      <formula>NOT(ISERROR(SEARCH("Deferred",I83)))</formula>
    </cfRule>
    <cfRule type="containsText" dxfId="4007" priority="76" operator="containsText" text="Update Not Provided">
      <formula>NOT(ISERROR(SEARCH("Update Not Provided",I83)))</formula>
    </cfRule>
    <cfRule type="containsText" dxfId="4006" priority="77" operator="containsText" text="Not Yet Due">
      <formula>NOT(ISERROR(SEARCH("Not Yet Due",I83)))</formula>
    </cfRule>
    <cfRule type="containsText" dxfId="4005" priority="78" operator="containsText" text="Deleted">
      <formula>NOT(ISERROR(SEARCH("Deleted",I83)))</formula>
    </cfRule>
    <cfRule type="containsText" dxfId="4004" priority="79" operator="containsText" text="Completed Behind Schedule">
      <formula>NOT(ISERROR(SEARCH("Completed Behind Schedule",I83)))</formula>
    </cfRule>
    <cfRule type="containsText" dxfId="4003" priority="80" operator="containsText" text="Off Target">
      <formula>NOT(ISERROR(SEARCH("Off Target",I83)))</formula>
    </cfRule>
    <cfRule type="containsText" dxfId="4002" priority="81" operator="containsText" text="In Danger of Falling Behind Target">
      <formula>NOT(ISERROR(SEARCH("In Danger of Falling Behind Target",I83)))</formula>
    </cfRule>
    <cfRule type="containsText" dxfId="4001" priority="82" operator="containsText" text="Fully Achieved">
      <formula>NOT(ISERROR(SEARCH("Fully Achieved",I83)))</formula>
    </cfRule>
    <cfRule type="containsText" dxfId="4000" priority="83" operator="containsText" text="On track to be achieved">
      <formula>NOT(ISERROR(SEARCH("On track to be achieved",I83)))</formula>
    </cfRule>
  </conditionalFormatting>
  <conditionalFormatting sqref="S82">
    <cfRule type="containsText" dxfId="3999" priority="57" operator="containsText" text="Deferred">
      <formula>NOT(ISERROR(SEARCH("Deferred",S82)))</formula>
    </cfRule>
    <cfRule type="containsText" dxfId="3998" priority="58" operator="containsText" text="Update Not Provided">
      <formula>NOT(ISERROR(SEARCH("Update Not Provided",S82)))</formula>
    </cfRule>
    <cfRule type="containsText" dxfId="3997" priority="59" operator="containsText" text="Not Yet Due">
      <formula>NOT(ISERROR(SEARCH("Not Yet Due",S82)))</formula>
    </cfRule>
    <cfRule type="containsText" dxfId="3996" priority="60" operator="containsText" text="Deleted">
      <formula>NOT(ISERROR(SEARCH("Deleted",S82)))</formula>
    </cfRule>
    <cfRule type="containsText" dxfId="3995" priority="61" operator="containsText" text="Completed Behind Schedule">
      <formula>NOT(ISERROR(SEARCH("Completed Behind Schedule",S82)))</formula>
    </cfRule>
    <cfRule type="containsText" dxfId="3994" priority="62" operator="containsText" text="Off Target">
      <formula>NOT(ISERROR(SEARCH("Off Target",S82)))</formula>
    </cfRule>
    <cfRule type="containsText" dxfId="3993" priority="63" operator="containsText" text="In Danger of Falling Behind Target">
      <formula>NOT(ISERROR(SEARCH("In Danger of Falling Behind Target",S82)))</formula>
    </cfRule>
    <cfRule type="containsText" dxfId="3992" priority="64" operator="containsText" text="Fully Achieved">
      <formula>NOT(ISERROR(SEARCH("Fully Achieved",S82)))</formula>
    </cfRule>
    <cfRule type="containsText" dxfId="3991" priority="65" operator="containsText" text="On track to be achieved">
      <formula>NOT(ISERROR(SEARCH("On track to be achieved",S82)))</formula>
    </cfRule>
  </conditionalFormatting>
  <conditionalFormatting sqref="W82">
    <cfRule type="containsText" dxfId="3990" priority="38" operator="containsText" text="Deleted">
      <formula>NOT(ISERROR(SEARCH("Deleted",W82)))</formula>
    </cfRule>
    <cfRule type="containsText" dxfId="3989" priority="39" operator="containsText" text="Deferred">
      <formula>NOT(ISERROR(SEARCH("Deferred",W82)))</formula>
    </cfRule>
    <cfRule type="containsText" dxfId="3988" priority="40" operator="containsText" text="Completion date within reasonable tolerance">
      <formula>NOT(ISERROR(SEARCH("Completion date within reasonable tolerance",W82)))</formula>
    </cfRule>
    <cfRule type="containsText" dxfId="3987" priority="41" operator="containsText" text="completed significantly after target deadline">
      <formula>NOT(ISERROR(SEARCH("completed significantly after target deadline",W82)))</formula>
    </cfRule>
    <cfRule type="containsText" dxfId="3986" priority="42" operator="containsText" text="Off target">
      <formula>NOT(ISERROR(SEARCH("Off target",W82)))</formula>
    </cfRule>
    <cfRule type="containsText" dxfId="3985" priority="43" operator="containsText" text="Target partially met">
      <formula>NOT(ISERROR(SEARCH("Target partially met",W82)))</formula>
    </cfRule>
    <cfRule type="containsText" dxfId="3984" priority="44" operator="containsText" text="Numerical outturn within 10% tolerance">
      <formula>NOT(ISERROR(SEARCH("Numerical outturn within 10% tolerance",W82)))</formula>
    </cfRule>
    <cfRule type="containsText" dxfId="3983" priority="45" operator="containsText" text="Numerical outturn within 5% Tolerance">
      <formula>NOT(ISERROR(SEARCH("Numerical outturn within 5% Tolerance",W82)))</formula>
    </cfRule>
    <cfRule type="containsText" dxfId="3982" priority="46" operator="containsText" text="Fully Achieved">
      <formula>NOT(ISERROR(SEARCH("Fully Achieved",W82)))</formula>
    </cfRule>
    <cfRule type="containsText" dxfId="3981" priority="47" operator="containsText" text="Update Not Provided">
      <formula>NOT(ISERROR(SEARCH("Update Not Provided",W82)))</formula>
    </cfRule>
    <cfRule type="containsText" dxfId="3980" priority="48" operator="containsText" text="Deferred">
      <formula>NOT(ISERROR(SEARCH("Deferred",W82)))</formula>
    </cfRule>
    <cfRule type="containsText" dxfId="3979" priority="49" operator="containsText" text="Update Not Provided">
      <formula>NOT(ISERROR(SEARCH("Update Not Provided",W82)))</formula>
    </cfRule>
    <cfRule type="containsText" dxfId="3978" priority="50" operator="containsText" text="Not Yet Due">
      <formula>NOT(ISERROR(SEARCH("Not Yet Due",W82)))</formula>
    </cfRule>
    <cfRule type="containsText" dxfId="3977" priority="51" operator="containsText" text="Deleted">
      <formula>NOT(ISERROR(SEARCH("Deleted",W82)))</formula>
    </cfRule>
    <cfRule type="containsText" dxfId="3976" priority="52" operator="containsText" text="Completed Behind Schedule">
      <formula>NOT(ISERROR(SEARCH("Completed Behind Schedule",W82)))</formula>
    </cfRule>
    <cfRule type="containsText" dxfId="3975" priority="53" operator="containsText" text="Off Target">
      <formula>NOT(ISERROR(SEARCH("Off Target",W82)))</formula>
    </cfRule>
    <cfRule type="containsText" dxfId="3974" priority="54" operator="containsText" text="In Danger of Falling Behind Target">
      <formula>NOT(ISERROR(SEARCH("In Danger of Falling Behind Target",W82)))</formula>
    </cfRule>
    <cfRule type="containsText" dxfId="3973" priority="55" operator="containsText" text="Fully Achieved">
      <formula>NOT(ISERROR(SEARCH("Fully Achieved",W82)))</formula>
    </cfRule>
    <cfRule type="containsText" dxfId="3972" priority="56" operator="containsText" text="On track to be achieved">
      <formula>NOT(ISERROR(SEARCH("On track to be achieved",W82)))</formula>
    </cfRule>
  </conditionalFormatting>
  <conditionalFormatting sqref="I82">
    <cfRule type="containsText" dxfId="3971" priority="29" operator="containsText" text="Deferred">
      <formula>NOT(ISERROR(SEARCH("Deferred",I82)))</formula>
    </cfRule>
    <cfRule type="containsText" dxfId="3970" priority="30" operator="containsText" text="Update Not Provided">
      <formula>NOT(ISERROR(SEARCH("Update Not Provided",I82)))</formula>
    </cfRule>
    <cfRule type="containsText" dxfId="3969" priority="31" operator="containsText" text="Not Yet Due">
      <formula>NOT(ISERROR(SEARCH("Not Yet Due",I82)))</formula>
    </cfRule>
    <cfRule type="containsText" dxfId="3968" priority="32" operator="containsText" text="Deleted">
      <formula>NOT(ISERROR(SEARCH("Deleted",I82)))</formula>
    </cfRule>
    <cfRule type="containsText" dxfId="3967" priority="33" operator="containsText" text="Completed Behind Schedule">
      <formula>NOT(ISERROR(SEARCH("Completed Behind Schedule",I82)))</formula>
    </cfRule>
    <cfRule type="containsText" dxfId="3966" priority="34" operator="containsText" text="Off Target">
      <formula>NOT(ISERROR(SEARCH("Off Target",I82)))</formula>
    </cfRule>
    <cfRule type="containsText" dxfId="3965" priority="35" operator="containsText" text="In Danger of Falling Behind Target">
      <formula>NOT(ISERROR(SEARCH("In Danger of Falling Behind Target",I82)))</formula>
    </cfRule>
    <cfRule type="containsText" dxfId="3964" priority="36" operator="containsText" text="Fully Achieved">
      <formula>NOT(ISERROR(SEARCH("Fully Achieved",I82)))</formula>
    </cfRule>
    <cfRule type="containsText" dxfId="3963" priority="37" operator="containsText" text="On track to be achieved">
      <formula>NOT(ISERROR(SEARCH("On track to be achieved",I82)))</formula>
    </cfRule>
  </conditionalFormatting>
  <conditionalFormatting sqref="S96 I96">
    <cfRule type="containsText" dxfId="3962" priority="20" operator="containsText" text="Deferred">
      <formula>NOT(ISERROR(SEARCH("Deferred",I96)))</formula>
    </cfRule>
    <cfRule type="containsText" dxfId="3961" priority="21" operator="containsText" text="Update Not Provided">
      <formula>NOT(ISERROR(SEARCH("Update Not Provided",I96)))</formula>
    </cfRule>
    <cfRule type="containsText" dxfId="3960" priority="22" operator="containsText" text="Not Yet Due">
      <formula>NOT(ISERROR(SEARCH("Not Yet Due",I96)))</formula>
    </cfRule>
    <cfRule type="containsText" dxfId="3959" priority="23" operator="containsText" text="Deleted">
      <formula>NOT(ISERROR(SEARCH("Deleted",I96)))</formula>
    </cfRule>
    <cfRule type="containsText" dxfId="3958" priority="24" operator="containsText" text="Completed Behind Schedule">
      <formula>NOT(ISERROR(SEARCH("Completed Behind Schedule",I96)))</formula>
    </cfRule>
    <cfRule type="containsText" dxfId="3957" priority="25" operator="containsText" text="Off Target">
      <formula>NOT(ISERROR(SEARCH("Off Target",I96)))</formula>
    </cfRule>
    <cfRule type="containsText" dxfId="3956" priority="26" operator="containsText" text="In Danger of Falling Behind Target">
      <formula>NOT(ISERROR(SEARCH("In Danger of Falling Behind Target",I96)))</formula>
    </cfRule>
    <cfRule type="containsText" dxfId="3955" priority="27" operator="containsText" text="Fully Achieved">
      <formula>NOT(ISERROR(SEARCH("Fully Achieved",I96)))</formula>
    </cfRule>
    <cfRule type="containsText" dxfId="3954" priority="28" operator="containsText" text="On track to be achieved">
      <formula>NOT(ISERROR(SEARCH("On track to be achieved",I96)))</formula>
    </cfRule>
  </conditionalFormatting>
  <conditionalFormatting sqref="W96">
    <cfRule type="containsText" dxfId="3953" priority="1" operator="containsText" text="Deleted">
      <formula>NOT(ISERROR(SEARCH("Deleted",W96)))</formula>
    </cfRule>
    <cfRule type="containsText" dxfId="3952" priority="2" operator="containsText" text="Deferred">
      <formula>NOT(ISERROR(SEARCH("Deferred",W96)))</formula>
    </cfRule>
    <cfRule type="containsText" dxfId="3951" priority="3" operator="containsText" text="Completion date within reasonable tolerance">
      <formula>NOT(ISERROR(SEARCH("Completion date within reasonable tolerance",W96)))</formula>
    </cfRule>
    <cfRule type="containsText" dxfId="3950" priority="4" operator="containsText" text="completed significantly after target deadline">
      <formula>NOT(ISERROR(SEARCH("completed significantly after target deadline",W96)))</formula>
    </cfRule>
    <cfRule type="containsText" dxfId="3949" priority="5" operator="containsText" text="Off target">
      <formula>NOT(ISERROR(SEARCH("Off target",W96)))</formula>
    </cfRule>
    <cfRule type="containsText" dxfId="3948" priority="6" operator="containsText" text="Target partially met">
      <formula>NOT(ISERROR(SEARCH("Target partially met",W96)))</formula>
    </cfRule>
    <cfRule type="containsText" dxfId="3947" priority="7" operator="containsText" text="Numerical outturn within 10% tolerance">
      <formula>NOT(ISERROR(SEARCH("Numerical outturn within 10% tolerance",W96)))</formula>
    </cfRule>
    <cfRule type="containsText" dxfId="3946" priority="8" operator="containsText" text="Numerical outturn within 5% Tolerance">
      <formula>NOT(ISERROR(SEARCH("Numerical outturn within 5% Tolerance",W96)))</formula>
    </cfRule>
    <cfRule type="containsText" dxfId="3945" priority="9" operator="containsText" text="Fully Achieved">
      <formula>NOT(ISERROR(SEARCH("Fully Achieved",W96)))</formula>
    </cfRule>
    <cfRule type="containsText" dxfId="3944" priority="10" operator="containsText" text="Update Not Provided">
      <formula>NOT(ISERROR(SEARCH("Update Not Provided",W96)))</formula>
    </cfRule>
    <cfRule type="containsText" dxfId="3943" priority="11" operator="containsText" text="Deferred">
      <formula>NOT(ISERROR(SEARCH("Deferred",W96)))</formula>
    </cfRule>
    <cfRule type="containsText" dxfId="3942" priority="12" operator="containsText" text="Update Not Provided">
      <formula>NOT(ISERROR(SEARCH("Update Not Provided",W96)))</formula>
    </cfRule>
    <cfRule type="containsText" dxfId="3941" priority="13" operator="containsText" text="Not Yet Due">
      <formula>NOT(ISERROR(SEARCH("Not Yet Due",W96)))</formula>
    </cfRule>
    <cfRule type="containsText" dxfId="3940" priority="14" operator="containsText" text="Deleted">
      <formula>NOT(ISERROR(SEARCH("Deleted",W96)))</formula>
    </cfRule>
    <cfRule type="containsText" dxfId="3939" priority="15" operator="containsText" text="Completed Behind Schedule">
      <formula>NOT(ISERROR(SEARCH("Completed Behind Schedule",W96)))</formula>
    </cfRule>
    <cfRule type="containsText" dxfId="3938" priority="16" operator="containsText" text="Off Target">
      <formula>NOT(ISERROR(SEARCH("Off Target",W96)))</formula>
    </cfRule>
    <cfRule type="containsText" dxfId="3937" priority="17" operator="containsText" text="In Danger of Falling Behind Target">
      <formula>NOT(ISERROR(SEARCH("In Danger of Falling Behind Target",W96)))</formula>
    </cfRule>
    <cfRule type="containsText" dxfId="3936" priority="18" operator="containsText" text="Fully Achieved">
      <formula>NOT(ISERROR(SEARCH("Fully Achieved",W96)))</formula>
    </cfRule>
    <cfRule type="containsText" dxfId="3935" priority="19" operator="containsText" text="On track to be achieved">
      <formula>NOT(ISERROR(SEARCH("On track to be achieved",W96)))</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S3:S111 I3:I111 N3:N111">
      <formula1>$A$164:$A$172</formula1>
    </dataValidation>
    <dataValidation type="list" allowBlank="1" showInputMessage="1" showErrorMessage="1" promptTitle="Is target on track?" prompt="Please choose an option from the drop down list that best describes the current situation for this target." sqref="W3:W111">
      <formula1>$A$146:$A$155</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8" t="s">
        <v>773</v>
      </c>
      <c r="C2" s="390" t="s">
        <v>203</v>
      </c>
      <c r="D2" s="391"/>
      <c r="E2" s="392" t="s">
        <v>204</v>
      </c>
      <c r="F2" s="393"/>
      <c r="G2" s="394" t="s">
        <v>205</v>
      </c>
      <c r="H2" s="394"/>
    </row>
    <row r="3" spans="1:40" ht="50.25" customHeight="1" thickTop="1" thickBot="1">
      <c r="B3" s="389"/>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12"/>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12"/>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12"/>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12"/>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12"/>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312"/>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12"/>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12"/>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6</v>
      </c>
      <c r="D13" s="68">
        <f>'3a. % by Portfolio'!G51</f>
        <v>0.66666666666666674</v>
      </c>
      <c r="E13" s="73">
        <f>'3a. % by Portfolio'!C54</f>
        <v>2</v>
      </c>
      <c r="F13" s="70">
        <f>'3a. % by Portfolio'!G54</f>
        <v>0.22222222222222221</v>
      </c>
      <c r="G13" s="71">
        <f>'3a. % by Portfolio'!C58+'3a. % by Portfolio'!C59</f>
        <v>1</v>
      </c>
      <c r="H13" s="72">
        <f>'3a. % by Portfolio'!G58</f>
        <v>0.1111111111111111</v>
      </c>
      <c r="I13" s="49"/>
      <c r="J13" s="312"/>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12"/>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9</v>
      </c>
      <c r="D15" s="68">
        <f>'3a. % by Portfolio'!G95</f>
        <v>0.9</v>
      </c>
      <c r="E15" s="73">
        <f>'3a. % by Portfolio'!C98</f>
        <v>1</v>
      </c>
      <c r="F15" s="70">
        <f>'3a. % by Portfolio'!G98</f>
        <v>0.1</v>
      </c>
      <c r="G15" s="71">
        <f>'3a. % by Portfolio'!C102+'3a. % by Portfolio'!C103</f>
        <v>0</v>
      </c>
      <c r="H15" s="72">
        <f>'3a. % by Portfolio'!G102</f>
        <v>0</v>
      </c>
      <c r="I15" s="49"/>
      <c r="J15" s="312"/>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8" t="s">
        <v>774</v>
      </c>
      <c r="C2" s="390" t="s">
        <v>203</v>
      </c>
      <c r="D2" s="391"/>
      <c r="E2" s="392" t="s">
        <v>204</v>
      </c>
      <c r="F2" s="393"/>
      <c r="G2" s="394" t="s">
        <v>205</v>
      </c>
      <c r="H2" s="394"/>
    </row>
    <row r="3" spans="1:40" ht="50.25" customHeight="1" thickTop="1" thickBot="1">
      <c r="B3" s="389"/>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78</v>
      </c>
      <c r="D5" s="52">
        <f>'2a. % By Priority'!N6</f>
        <v>0.91764705882352937</v>
      </c>
      <c r="E5" s="53">
        <f>'2a. % By Priority'!J9</f>
        <v>4</v>
      </c>
      <c r="F5" s="43">
        <f>'2a. % By Priority'!N9</f>
        <v>4.7058823529411764E-2</v>
      </c>
      <c r="G5" s="63">
        <f>'2a. % By Priority'!J13+'2a. % By Priority'!J14</f>
        <v>3</v>
      </c>
      <c r="H5" s="64">
        <f>'2a. % By Priority'!N13</f>
        <v>3.5294117647058823E-2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36</v>
      </c>
      <c r="D7" s="52">
        <f>'2a. % By Priority'!N28</f>
        <v>0.87804878048780488</v>
      </c>
      <c r="E7" s="59">
        <f>'2a. % By Priority'!J31</f>
        <v>2</v>
      </c>
      <c r="F7" s="43">
        <f>'2a. % By Priority'!N31</f>
        <v>4.878048780487805E-2</v>
      </c>
      <c r="G7" s="63">
        <f>'2a. % By Priority'!J35+'2a. % By Priority'!J36</f>
        <v>3</v>
      </c>
      <c r="H7" s="64">
        <f>'2a. % By Priority'!N35</f>
        <v>7.3170731707317083E-2</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19</v>
      </c>
      <c r="D8" s="52">
        <f>'2a. % By Priority'!N50</f>
        <v>0.95000000000000007</v>
      </c>
      <c r="E8" s="59">
        <f>'2a. % By Priority'!J53</f>
        <v>1</v>
      </c>
      <c r="F8" s="43">
        <f>'2a. % By Priority'!N53</f>
        <v>0.05</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23</v>
      </c>
      <c r="D9" s="52">
        <f>'2a. % By Priority'!N72</f>
        <v>0.95833333333333337</v>
      </c>
      <c r="E9" s="59">
        <f>'2a. % By Priority'!J75</f>
        <v>1</v>
      </c>
      <c r="F9" s="43">
        <f>'2a. % By Priority'!N75</f>
        <v>4.1666666666666664E-2</v>
      </c>
      <c r="G9" s="63">
        <f>'2a. % By Priority'!J79+'2a. % By Priority'!J80</f>
        <v>0</v>
      </c>
      <c r="H9" s="64">
        <f>'2a. % By Priority'!N79</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13</v>
      </c>
      <c r="D11" s="68">
        <f>'3a. % by Portfolio'!N6</f>
        <v>0.8666666666666667</v>
      </c>
      <c r="E11" s="69">
        <f>'3a. % by Portfolio'!J9</f>
        <v>0</v>
      </c>
      <c r="F11" s="70">
        <f>'3a. % by Portfolio'!N9</f>
        <v>0</v>
      </c>
      <c r="G11" s="63">
        <f>'3a. % by Portfolio'!J13+'3a. % by Portfolio'!J14</f>
        <v>2</v>
      </c>
      <c r="H11" s="72">
        <f>'3a. % by Portfolio'!N13</f>
        <v>0.13333333333333333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28</v>
      </c>
      <c r="D12" s="68">
        <f>'3a. % by Portfolio'!N29</f>
        <v>0.93333333333333335</v>
      </c>
      <c r="E12" s="73">
        <f>'3a. % by Portfolio'!J32</f>
        <v>2</v>
      </c>
      <c r="F12" s="70">
        <f>'3a. % by Portfolio'!N32</f>
        <v>6.6666666666666666E-2</v>
      </c>
      <c r="G12" s="63">
        <f>'3a. % by Portfolio'!J36+'3a. % by Portfolio'!J37</f>
        <v>0</v>
      </c>
      <c r="H12" s="72">
        <f>'3a. % by Portfolio'!N36</f>
        <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6</v>
      </c>
      <c r="D13" s="68">
        <f>'3a. % by Portfolio'!N51</f>
        <v>0.75</v>
      </c>
      <c r="E13" s="73">
        <f>'3a. % by Portfolio'!J54</f>
        <v>1</v>
      </c>
      <c r="F13" s="70">
        <f>'3a. % by Portfolio'!N54</f>
        <v>0.125</v>
      </c>
      <c r="G13" s="63">
        <f>'3a. % by Portfolio'!J58+'3a. % by Portfolio'!J59</f>
        <v>1</v>
      </c>
      <c r="H13" s="72">
        <f>'3a. % by Portfolio'!N58</f>
        <v>0.125</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23</v>
      </c>
      <c r="D14" s="68">
        <f>'3a. % by Portfolio'!N73</f>
        <v>1</v>
      </c>
      <c r="E14" s="73">
        <f>'3a. % by Portfolio'!J76</f>
        <v>0</v>
      </c>
      <c r="F14" s="70">
        <f>'3a. % by Portfolio'!N76</f>
        <v>0</v>
      </c>
      <c r="G14" s="63">
        <f>'3a. % by Portfolio'!J80+'3a. % by Portfolio'!J81</f>
        <v>0</v>
      </c>
      <c r="H14" s="72">
        <f>'3a. % by Portfolio'!N80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8</v>
      </c>
      <c r="D15" s="68">
        <f>'3a. % by Portfolio'!N95</f>
        <v>0.88888888888888884</v>
      </c>
      <c r="E15" s="73">
        <f>'3a. % by Portfolio'!J98</f>
        <v>1</v>
      </c>
      <c r="F15" s="70">
        <f>'3a. % by Portfolio'!N98</f>
        <v>0.1111111111111111</v>
      </c>
      <c r="G15" s="63">
        <f>'3a. % by Portfolio'!J102+'3a. % by Portfolio'!J103</f>
        <v>0</v>
      </c>
      <c r="H15" s="72">
        <f>'3a. % by Portfolio'!N102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G8" sqref="G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8" t="s">
        <v>775</v>
      </c>
      <c r="C2" s="390" t="s">
        <v>203</v>
      </c>
      <c r="D2" s="391"/>
      <c r="E2" s="392" t="s">
        <v>204</v>
      </c>
      <c r="F2" s="393"/>
      <c r="G2" s="394" t="s">
        <v>205</v>
      </c>
      <c r="H2" s="394"/>
    </row>
    <row r="3" spans="1:40" ht="50.25" customHeight="1" thickTop="1" thickBot="1">
      <c r="B3" s="389"/>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0</v>
      </c>
      <c r="D5" s="52" t="e">
        <f>'2a. % By Priority'!U6</f>
        <v>#DIV/0!</v>
      </c>
      <c r="E5" s="53">
        <f>'2a. % By Priority'!Q9</f>
        <v>0</v>
      </c>
      <c r="F5" s="43" t="e">
        <f>'2a. % By Priority'!U9</f>
        <v>#DIV/0!</v>
      </c>
      <c r="G5" s="63">
        <f>'2a. % By Priority'!Q13+'2a. % By Priority'!Q14</f>
        <v>0</v>
      </c>
      <c r="H5" s="64" t="e">
        <f>'2a. % By Priority'!U13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0</v>
      </c>
      <c r="D7" s="52" t="e">
        <f>'2a. % By Priority'!U28</f>
        <v>#DIV/0!</v>
      </c>
      <c r="E7" s="59">
        <f>'2a. % By Priority'!Q31</f>
        <v>0</v>
      </c>
      <c r="F7" s="43" t="e">
        <f>'2a. % By Priority'!U31</f>
        <v>#DIV/0!</v>
      </c>
      <c r="G7" s="63">
        <f>'2a. % By Priority'!Q35+'2a. % By Priority'!Q36</f>
        <v>0</v>
      </c>
      <c r="H7" s="64" t="e">
        <f>'2a. % By Priority'!U35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0</v>
      </c>
      <c r="D8" s="52" t="e">
        <f>'2a. % By Priority'!U50</f>
        <v>#DIV/0!</v>
      </c>
      <c r="E8" s="59">
        <f>'2a. % By Priority'!Q53</f>
        <v>0</v>
      </c>
      <c r="F8" s="43" t="e">
        <f>'2a. % By Priority'!U53</f>
        <v>#DIV/0!</v>
      </c>
      <c r="G8" s="63">
        <f>'2a. % By Priority'!Q57+'2a. % By Priority'!Q58</f>
        <v>0</v>
      </c>
      <c r="H8" s="64" t="e">
        <f>'2a. % By Priority'!U57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0</v>
      </c>
      <c r="D9" s="52" t="e">
        <f>'2a. % By Priority'!U72</f>
        <v>#DIV/0!</v>
      </c>
      <c r="E9" s="59">
        <f>'2a. % By Priority'!Q75</f>
        <v>0</v>
      </c>
      <c r="F9" s="43" t="e">
        <f>'2a. % By Priority'!U75</f>
        <v>#DIV/0!</v>
      </c>
      <c r="G9" s="63">
        <f>'2a. % By Priority'!Q79+'2a. % By Priority'!Q80</f>
        <v>0</v>
      </c>
      <c r="H9" s="64" t="e">
        <f>'2a. % By Priority'!U79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0</v>
      </c>
      <c r="D11" s="68" t="e">
        <f>'3a. % by Portfolio'!U6</f>
        <v>#DIV/0!</v>
      </c>
      <c r="E11" s="69">
        <f>'3a. % by Portfolio'!Q9</f>
        <v>0</v>
      </c>
      <c r="F11" s="70" t="e">
        <f>'3a. % by Portfolio'!U9</f>
        <v>#DIV/0!</v>
      </c>
      <c r="G11" s="71">
        <f>'3a. % by Portfolio'!Q13+'3a. % by Portfolio'!Q14</f>
        <v>0</v>
      </c>
      <c r="H11" s="72" t="e">
        <f>'3a. % by Portfolio'!U13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0</v>
      </c>
      <c r="D12" s="68" t="e">
        <f>'3a. % by Portfolio'!U29</f>
        <v>#DIV/0!</v>
      </c>
      <c r="E12" s="73">
        <f>'3a. % by Portfolio'!Q32</f>
        <v>0</v>
      </c>
      <c r="F12" s="70" t="e">
        <f>'3a. % by Portfolio'!U32</f>
        <v>#DIV/0!</v>
      </c>
      <c r="G12" s="71">
        <f>'3a. % by Portfolio'!Q13+'3a. % by Portfolio'!Q14</f>
        <v>0</v>
      </c>
      <c r="H12" s="72" t="e">
        <f>'3a. % by Portfolio'!U36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Portfolio'!Q51+'3a. % by Portfolio'!Q52</f>
        <v>0</v>
      </c>
      <c r="D13" s="68" t="e">
        <f>'3a. % by Portfolio'!U51</f>
        <v>#DIV/0!</v>
      </c>
      <c r="E13" s="73">
        <f>'3a. % by Portfolio'!Q54</f>
        <v>0</v>
      </c>
      <c r="F13" s="70" t="e">
        <f>'3a. % by Portfolio'!U54</f>
        <v>#DIV/0!</v>
      </c>
      <c r="G13" s="71">
        <f>'3a. % by Portfolio'!Q58+'3a. % by Portfolio'!Q59</f>
        <v>0</v>
      </c>
      <c r="H13" s="72" t="e">
        <f>'3a. % by Portfolio'!U58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0</v>
      </c>
      <c r="D14" s="68" t="e">
        <f>'3a. % by Portfolio'!U73</f>
        <v>#DIV/0!</v>
      </c>
      <c r="E14" s="73">
        <f>'3a. % by Portfolio'!Q76</f>
        <v>0</v>
      </c>
      <c r="F14" s="70" t="e">
        <f>'3a. % by Portfolio'!U76</f>
        <v>#DIV/0!</v>
      </c>
      <c r="G14" s="71">
        <f>'3a. % by Portfolio'!Q80+'3a. % by Portfolio'!Q81</f>
        <v>0</v>
      </c>
      <c r="H14" s="72" t="e">
        <f>'3a. % by Portfolio'!U80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Portfolio'!Q95+'3a. % by Portfolio'!Q96</f>
        <v>0</v>
      </c>
      <c r="D15" s="68" t="e">
        <f>'3a. % by Portfolio'!U95</f>
        <v>#DIV/0!</v>
      </c>
      <c r="E15" s="73">
        <f>'3a. % by Portfolio'!Q98</f>
        <v>0</v>
      </c>
      <c r="F15" s="70" t="e">
        <f>'3a. % by Portfolio'!U98</f>
        <v>#DIV/0!</v>
      </c>
      <c r="G15" s="71">
        <f>'3a. % by Portfolio'!Q102+'3a. % by Portfolio'!Q103</f>
        <v>0</v>
      </c>
      <c r="H15" s="72" t="e">
        <f>'3a. % by Portfolio'!U102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zCsTFby/5V7Boi4Fb/Z9YotbL8vWN2E1l5SkiSGXgL1O5gtf71ECeotI/GhvmONhPMz5MHvmttVLnEU23tq+uw==" saltValue="vdKIB2d3p6B6Yp/Edf6iyg=="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8" t="s">
        <v>776</v>
      </c>
      <c r="C2" s="390" t="s">
        <v>203</v>
      </c>
      <c r="D2" s="391"/>
      <c r="E2" s="392" t="s">
        <v>204</v>
      </c>
      <c r="F2" s="393"/>
      <c r="G2" s="394" t="s">
        <v>205</v>
      </c>
      <c r="H2" s="394"/>
    </row>
    <row r="3" spans="1:40" ht="50.25" customHeight="1" thickTop="1" thickBot="1">
      <c r="B3" s="389"/>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0</v>
      </c>
      <c r="D5" s="52" t="e">
        <f>'2a. % By Priority'!AB6</f>
        <v>#DIV/0!</v>
      </c>
      <c r="E5" s="53">
        <f>'2a. % By Priority'!X9+'2a. % By Priority'!X10+'2a. % By Priority'!X11</f>
        <v>0</v>
      </c>
      <c r="F5" s="43" t="e">
        <f>'2a. % By Priority'!AB9</f>
        <v>#DIV/0!</v>
      </c>
      <c r="G5" s="63">
        <f>'2a. % By Priority'!X13+'2a. % By Priority'!X14</f>
        <v>0</v>
      </c>
      <c r="H5" s="64" t="e">
        <f>'2a. % By Priority'!AB13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0</v>
      </c>
      <c r="D7" s="52" t="e">
        <f>'2a. % By Priority'!AB28</f>
        <v>#DIV/0!</v>
      </c>
      <c r="E7" s="59">
        <f>'2a. % By Priority'!X31+'2a. % By Priority'!X32+'2a. % By Priority'!X33</f>
        <v>0</v>
      </c>
      <c r="F7" s="43" t="e">
        <f>'2a. % By Priority'!AB31</f>
        <v>#DIV/0!</v>
      </c>
      <c r="G7" s="63">
        <f>'2a. % By Priority'!X35+'2a. % By Priority'!X36</f>
        <v>0</v>
      </c>
      <c r="H7" s="64" t="e">
        <f>'2a. % By Priority'!AB35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0</v>
      </c>
      <c r="D8" s="52" t="e">
        <f>SUM('2a. % By Priority'!Y50:Y51)</f>
        <v>#DIV/0!</v>
      </c>
      <c r="E8" s="59">
        <f>'2a. % By Priority'!X53+'2a. % By Priority'!X54+'2a. % By Priority'!X55</f>
        <v>0</v>
      </c>
      <c r="F8" s="43" t="e">
        <f>'2a. % By Priority'!AB53</f>
        <v>#DIV/0!</v>
      </c>
      <c r="G8" s="63">
        <f>'2a. % By Priority'!X57+'2a. % By Priority'!X58</f>
        <v>0</v>
      </c>
      <c r="H8" s="64" t="e">
        <f>'2a. % By Priority'!AB57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0</v>
      </c>
      <c r="D9" s="52" t="e">
        <f>'2a. % By Priority'!AB72</f>
        <v>#DIV/0!</v>
      </c>
      <c r="E9" s="59">
        <f>'2a. % By Priority'!X75+'2a. % By Priority'!X76+'2a. % By Priority'!X77</f>
        <v>0</v>
      </c>
      <c r="F9" s="43" t="e">
        <f>'2a. % By Priority'!AB75</f>
        <v>#DIV/0!</v>
      </c>
      <c r="G9" s="63">
        <f>'2a. % By Priority'!X79+'2a. % By Priority'!X80</f>
        <v>0</v>
      </c>
      <c r="H9" s="64" t="e">
        <f>'2a. % By Priority'!AB79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51">
        <f>'3a. % by Portfolio'!X6+'3a. % by Portfolio'!X7</f>
        <v>0</v>
      </c>
      <c r="D11" s="52" t="e">
        <f>'3a. % by Portfolio'!AB6</f>
        <v>#DIV/0!</v>
      </c>
      <c r="E11" s="59">
        <f>SUM('3a. % by Portfolio'!X9:X11)</f>
        <v>0</v>
      </c>
      <c r="F11" s="43" t="e">
        <f>'3a. % by Portfolio'!AB9</f>
        <v>#DIV/0!</v>
      </c>
      <c r="G11" s="63">
        <f>'3a. % by Portfolio'!X13+'3a. % by Portfolio'!X14</f>
        <v>0</v>
      </c>
      <c r="H11" s="64" t="e">
        <f>'3a. % by Portfolio'!AB13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51">
        <f>'3a. % by Portfolio'!X29+'3a. % by Portfolio'!X30</f>
        <v>0</v>
      </c>
      <c r="D12" s="52" t="e">
        <f>'3a. % by Portfolio'!AB29</f>
        <v>#DIV/0!</v>
      </c>
      <c r="E12" s="176">
        <f>'3a. % by Portfolio'!X32+'3a. % by Portfolio'!X33+'3a. % by Portfolio'!X34</f>
        <v>0</v>
      </c>
      <c r="F12" s="43" t="e">
        <f>'3a. % by Portfolio'!AB32</f>
        <v>#DIV/0!</v>
      </c>
      <c r="G12" s="63">
        <f>'3a. % by Portfolio'!X13+'3a. % by Portfolio'!X14</f>
        <v>0</v>
      </c>
      <c r="H12" s="64" t="e">
        <f>'3a. % by Portfolio'!AB36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51">
        <f>'3a. % by Portfolio'!X51+'3a. % by Portfolio'!X52</f>
        <v>0</v>
      </c>
      <c r="D13" s="52" t="e">
        <f>'3a. % by Portfolio'!AB51</f>
        <v>#DIV/0!</v>
      </c>
      <c r="E13" s="176">
        <f>'3a. % by Portfolio'!X54+'3a. % by Portfolio'!X55+'3a. % by Portfolio'!X56</f>
        <v>0</v>
      </c>
      <c r="F13" s="43" t="e">
        <f>'3a. % by Portfolio'!AB54</f>
        <v>#DIV/0!</v>
      </c>
      <c r="G13" s="63">
        <f>'3a. % by Portfolio'!X58+'3a. % by Portfolio'!X59</f>
        <v>0</v>
      </c>
      <c r="H13" s="64" t="e">
        <f>'3a. % by Portfolio'!AB58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51">
        <f>'3a. % by Portfolio'!X73+'3a. % by Portfolio'!X74</f>
        <v>0</v>
      </c>
      <c r="D14" s="52" t="e">
        <f>'3a. % by Portfolio'!AB73</f>
        <v>#DIV/0!</v>
      </c>
      <c r="E14" s="176">
        <f>'3a. % by Portfolio'!X76+'3a. % by Portfolio'!X77+'3a. % by Portfolio'!X78</f>
        <v>0</v>
      </c>
      <c r="F14" s="43" t="e">
        <f>'3a. % by Portfolio'!AB76</f>
        <v>#DIV/0!</v>
      </c>
      <c r="G14" s="63">
        <f>'3a. % by Portfolio'!X80+'3a. % by Portfolio'!X81</f>
        <v>0</v>
      </c>
      <c r="H14" s="64" t="e">
        <f>'3a. % by Portfolio'!AB80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51">
        <f>'3a. % by Portfolio'!X95+'3a. % by Portfolio'!X96</f>
        <v>0</v>
      </c>
      <c r="D15" s="52" t="e">
        <f>'3a. % by Portfolio'!AB95</f>
        <v>#DIV/0!</v>
      </c>
      <c r="E15" s="176">
        <f>'3a. % by Portfolio'!X98+'3a. % by Portfolio'!X99+'3a. % by Portfolio'!X100</f>
        <v>0</v>
      </c>
      <c r="F15" s="43" t="e">
        <f>'3a. % by Portfolio'!AB98</f>
        <v>#DIV/0!</v>
      </c>
      <c r="G15" s="63">
        <f>'3a. % by Portfolio'!X102+'3a. % by Portfolio'!X103</f>
        <v>0</v>
      </c>
      <c r="H15" s="64" t="e">
        <f>'3a. % by Portfolio'!AB102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9"/>
  <sheetViews>
    <sheetView topLeftCell="H1" zoomScale="70" zoomScaleNormal="70" workbookViewId="0">
      <selection activeCell="AO10" sqref="AO10"/>
    </sheetView>
  </sheetViews>
  <sheetFormatPr defaultColWidth="9.140625" defaultRowHeight="14.25"/>
  <cols>
    <col min="1" max="1" width="2.140625" style="223" customWidth="1"/>
    <col min="2" max="2" width="38.85546875" style="223" customWidth="1"/>
    <col min="3" max="3" width="13.7109375" style="220" customWidth="1"/>
    <col min="4" max="4" width="13.85546875" style="220" customWidth="1"/>
    <col min="5" max="5" width="16.28515625" style="220" customWidth="1"/>
    <col min="6" max="6" width="14.140625" style="220" customWidth="1"/>
    <col min="7" max="7" width="17.140625" style="220" customWidth="1"/>
    <col min="8" max="8" width="4.7109375" style="220" customWidth="1"/>
    <col min="9" max="9" width="38.85546875" style="223" customWidth="1"/>
    <col min="10" max="10" width="13.7109375" style="220" customWidth="1"/>
    <col min="11" max="11" width="13.85546875" style="220" customWidth="1"/>
    <col min="12" max="12" width="16.28515625" style="220" customWidth="1"/>
    <col min="13" max="13" width="14.140625" style="220" customWidth="1"/>
    <col min="14" max="14" width="17.140625" style="220" customWidth="1"/>
    <col min="15" max="15" width="4.7109375" style="220" customWidth="1"/>
    <col min="16" max="16" width="38.85546875" style="223" hidden="1" customWidth="1"/>
    <col min="17" max="17" width="13.7109375" style="220" hidden="1" customWidth="1"/>
    <col min="18" max="18" width="13.85546875" style="220" hidden="1" customWidth="1"/>
    <col min="19" max="19" width="16.28515625" style="220" hidden="1" customWidth="1"/>
    <col min="20" max="20" width="14.140625" style="220" hidden="1" customWidth="1"/>
    <col min="21" max="21" width="17.140625" style="220" hidden="1" customWidth="1"/>
    <col min="22" max="22" width="4.7109375" style="220" hidden="1" customWidth="1"/>
    <col min="23" max="23" width="55.28515625" style="220" hidden="1" customWidth="1"/>
    <col min="24" max="24" width="14.5703125" style="220" hidden="1" customWidth="1"/>
    <col min="25" max="27" width="17.140625" style="220" hidden="1" customWidth="1"/>
    <col min="28" max="28" width="17.140625" style="260" hidden="1" customWidth="1"/>
    <col min="29" max="29" width="9.140625" style="223" hidden="1" customWidth="1"/>
    <col min="30" max="30" width="9.140625" style="223" customWidth="1"/>
    <col min="31" max="16384" width="9.140625" style="223"/>
  </cols>
  <sheetData>
    <row r="1" spans="2:28" s="217" customFormat="1" ht="20.25">
      <c r="B1" s="209" t="s">
        <v>537</v>
      </c>
      <c r="C1" s="210"/>
      <c r="D1" s="211"/>
      <c r="E1" s="211"/>
      <c r="F1" s="211"/>
      <c r="G1" s="211"/>
      <c r="H1" s="212"/>
      <c r="I1" s="209" t="s">
        <v>538</v>
      </c>
      <c r="J1" s="210"/>
      <c r="K1" s="211"/>
      <c r="L1" s="211"/>
      <c r="M1" s="211"/>
      <c r="N1" s="211"/>
      <c r="O1" s="212"/>
      <c r="P1" s="213" t="s">
        <v>539</v>
      </c>
      <c r="Q1" s="210"/>
      <c r="R1" s="211"/>
      <c r="S1" s="211"/>
      <c r="T1" s="211"/>
      <c r="U1" s="211"/>
      <c r="V1" s="212"/>
      <c r="W1" s="214" t="s">
        <v>540</v>
      </c>
      <c r="X1" s="215"/>
      <c r="Y1" s="215"/>
      <c r="Z1" s="215"/>
      <c r="AA1" s="215"/>
      <c r="AB1" s="216"/>
    </row>
    <row r="2" spans="2:28" ht="15.75">
      <c r="B2" s="218"/>
      <c r="C2" s="219"/>
      <c r="D2" s="219"/>
      <c r="E2" s="219"/>
      <c r="F2" s="219"/>
      <c r="G2" s="219"/>
      <c r="I2" s="218"/>
      <c r="J2" s="219"/>
      <c r="K2" s="219"/>
      <c r="L2" s="219"/>
      <c r="M2" s="219"/>
      <c r="N2" s="219"/>
      <c r="P2" s="218"/>
      <c r="Q2" s="219"/>
      <c r="R2" s="219"/>
      <c r="S2" s="219"/>
      <c r="T2" s="219"/>
      <c r="U2" s="219"/>
      <c r="W2" s="221"/>
      <c r="X2" s="221"/>
      <c r="Y2" s="221"/>
      <c r="Z2" s="221"/>
      <c r="AA2" s="221"/>
      <c r="AB2" s="222"/>
    </row>
    <row r="3" spans="2:28" ht="15.75">
      <c r="B3" s="224" t="s">
        <v>185</v>
      </c>
      <c r="C3" s="225"/>
      <c r="D3" s="225"/>
      <c r="E3" s="225"/>
      <c r="F3" s="225"/>
      <c r="G3" s="226"/>
      <c r="I3" s="224" t="s">
        <v>185</v>
      </c>
      <c r="J3" s="225"/>
      <c r="K3" s="225"/>
      <c r="L3" s="225"/>
      <c r="M3" s="225"/>
      <c r="N3" s="226"/>
      <c r="P3" s="224" t="s">
        <v>185</v>
      </c>
      <c r="Q3" s="225"/>
      <c r="R3" s="225"/>
      <c r="S3" s="225"/>
      <c r="T3" s="225"/>
      <c r="U3" s="226"/>
      <c r="W3" s="227" t="s">
        <v>185</v>
      </c>
      <c r="X3" s="228"/>
      <c r="Y3" s="228"/>
      <c r="Z3" s="228"/>
      <c r="AA3" s="228"/>
      <c r="AB3" s="229"/>
    </row>
    <row r="4" spans="2:28" s="220" customFormat="1" ht="39" customHeight="1">
      <c r="B4" s="230" t="s">
        <v>186</v>
      </c>
      <c r="C4" s="230" t="s">
        <v>187</v>
      </c>
      <c r="D4" s="230" t="s">
        <v>188</v>
      </c>
      <c r="E4" s="230" t="s">
        <v>189</v>
      </c>
      <c r="F4" s="230" t="s">
        <v>190</v>
      </c>
      <c r="G4" s="230" t="s">
        <v>191</v>
      </c>
      <c r="I4" s="230" t="s">
        <v>186</v>
      </c>
      <c r="J4" s="230" t="s">
        <v>187</v>
      </c>
      <c r="K4" s="230" t="s">
        <v>188</v>
      </c>
      <c r="L4" s="230" t="s">
        <v>189</v>
      </c>
      <c r="M4" s="230" t="s">
        <v>190</v>
      </c>
      <c r="N4" s="230" t="s">
        <v>191</v>
      </c>
      <c r="P4" s="230" t="s">
        <v>186</v>
      </c>
      <c r="Q4" s="230" t="s">
        <v>187</v>
      </c>
      <c r="R4" s="230" t="s">
        <v>188</v>
      </c>
      <c r="S4" s="230" t="s">
        <v>189</v>
      </c>
      <c r="T4" s="230" t="s">
        <v>190</v>
      </c>
      <c r="U4" s="230" t="s">
        <v>191</v>
      </c>
      <c r="W4" s="230" t="s">
        <v>186</v>
      </c>
      <c r="X4" s="230" t="s">
        <v>187</v>
      </c>
      <c r="Y4" s="230" t="s">
        <v>188</v>
      </c>
      <c r="Z4" s="230" t="s">
        <v>189</v>
      </c>
      <c r="AA4" s="230" t="s">
        <v>190</v>
      </c>
      <c r="AB4" s="230" t="s">
        <v>191</v>
      </c>
    </row>
    <row r="5" spans="2:28" s="234" customFormat="1" ht="5.25" customHeight="1">
      <c r="B5" s="231"/>
      <c r="C5" s="232"/>
      <c r="D5" s="232"/>
      <c r="E5" s="232"/>
      <c r="F5" s="232"/>
      <c r="G5" s="232"/>
      <c r="H5" s="233"/>
      <c r="I5" s="231"/>
      <c r="J5" s="232"/>
      <c r="K5" s="232"/>
      <c r="L5" s="232"/>
      <c r="M5" s="232"/>
      <c r="N5" s="232"/>
      <c r="O5" s="233"/>
      <c r="P5" s="231"/>
      <c r="Q5" s="232"/>
      <c r="R5" s="232"/>
      <c r="S5" s="232"/>
      <c r="T5" s="232"/>
      <c r="U5" s="232"/>
      <c r="V5" s="233"/>
      <c r="W5" s="231"/>
      <c r="X5" s="232"/>
      <c r="Y5" s="232"/>
      <c r="Z5" s="232"/>
      <c r="AA5" s="232"/>
      <c r="AB5" s="232"/>
    </row>
    <row r="6" spans="2:28" ht="30.75" customHeight="1">
      <c r="B6" s="235" t="s">
        <v>192</v>
      </c>
      <c r="C6" s="236">
        <f>COUNTIF('1. All Data'!$I$3:$I$111,"Fully Achieved")</f>
        <v>4</v>
      </c>
      <c r="D6" s="237">
        <f>C6/C20</f>
        <v>3.669724770642202E-2</v>
      </c>
      <c r="E6" s="395">
        <f>D6+D7</f>
        <v>0.62385321100917435</v>
      </c>
      <c r="F6" s="237">
        <f>C6/C21</f>
        <v>5.3333333333333337E-2</v>
      </c>
      <c r="G6" s="410">
        <f>F6+F7</f>
        <v>0.90666666666666673</v>
      </c>
      <c r="I6" s="235" t="s">
        <v>192</v>
      </c>
      <c r="J6" s="236">
        <f>COUNTIF('1. All Data'!$N$3:$N$111,"Fully Achieved")</f>
        <v>8</v>
      </c>
      <c r="K6" s="237">
        <f>J6/J20</f>
        <v>7.3394495412844041E-2</v>
      </c>
      <c r="L6" s="395">
        <f>K6+K7</f>
        <v>0.7155963302752294</v>
      </c>
      <c r="M6" s="237">
        <f>J6/J21</f>
        <v>9.4117647058823528E-2</v>
      </c>
      <c r="N6" s="410">
        <f>M6+M7</f>
        <v>0.91764705882352937</v>
      </c>
      <c r="P6" s="235" t="s">
        <v>192</v>
      </c>
      <c r="Q6" s="236">
        <f>COUNTIF('1. All Data'!$S$3:$S$111,"Fully Achieved")</f>
        <v>0</v>
      </c>
      <c r="R6" s="237" t="e">
        <f>Q6/Q20</f>
        <v>#DIV/0!</v>
      </c>
      <c r="S6" s="395" t="e">
        <f>R6+R7</f>
        <v>#DIV/0!</v>
      </c>
      <c r="T6" s="237" t="e">
        <f>Q6/Q21</f>
        <v>#DIV/0!</v>
      </c>
      <c r="U6" s="410" t="e">
        <f>T6+T7</f>
        <v>#DIV/0!</v>
      </c>
      <c r="W6" s="235" t="s">
        <v>192</v>
      </c>
      <c r="X6" s="236">
        <f>COUNTIF('1. All Data'!$W$3:$W$111,"Fully Achieved")</f>
        <v>0</v>
      </c>
      <c r="Y6" s="237" t="e">
        <f>X6/$X$20</f>
        <v>#DIV/0!</v>
      </c>
      <c r="Z6" s="395" t="e">
        <f>SUM(Y6:Y7)</f>
        <v>#DIV/0!</v>
      </c>
      <c r="AA6" s="237" t="e">
        <f>X6/$X$21</f>
        <v>#DIV/0!</v>
      </c>
      <c r="AB6" s="410" t="e">
        <f>AA6+AA7</f>
        <v>#DIV/0!</v>
      </c>
    </row>
    <row r="7" spans="2:28" ht="30.75" customHeight="1">
      <c r="B7" s="235" t="s">
        <v>169</v>
      </c>
      <c r="C7" s="236">
        <f>COUNTIF('1. All Data'!$I$3:$I$111,"On Track to be Achieved")</f>
        <v>64</v>
      </c>
      <c r="D7" s="237">
        <f>C7/C20</f>
        <v>0.58715596330275233</v>
      </c>
      <c r="E7" s="395"/>
      <c r="F7" s="237">
        <f>C7/C21</f>
        <v>0.85333333333333339</v>
      </c>
      <c r="G7" s="410"/>
      <c r="I7" s="235" t="s">
        <v>169</v>
      </c>
      <c r="J7" s="236">
        <f>COUNTIF('1. All Data'!$N$3:$N$111,"On Track to be Achieved")</f>
        <v>70</v>
      </c>
      <c r="K7" s="237">
        <f>J7/J20</f>
        <v>0.64220183486238536</v>
      </c>
      <c r="L7" s="395"/>
      <c r="M7" s="237">
        <f>J7/J21</f>
        <v>0.82352941176470584</v>
      </c>
      <c r="N7" s="410"/>
      <c r="P7" s="235" t="s">
        <v>169</v>
      </c>
      <c r="Q7" s="236">
        <f>COUNTIF('1. All Data'!$S$3:$S$111,"On Track to be Achieved")</f>
        <v>0</v>
      </c>
      <c r="R7" s="237" t="e">
        <f>Q7/Q20</f>
        <v>#DIV/0!</v>
      </c>
      <c r="S7" s="395"/>
      <c r="T7" s="237" t="e">
        <f>Q7/Q21</f>
        <v>#DIV/0!</v>
      </c>
      <c r="U7" s="410"/>
      <c r="W7" s="235" t="s">
        <v>161</v>
      </c>
      <c r="X7" s="236">
        <f>COUNTIF('1. All Data'!$W$3:$W$111,"Numerical Outturn Within 5% Tolerance")</f>
        <v>0</v>
      </c>
      <c r="Y7" s="237" t="e">
        <f>X7/$X$20</f>
        <v>#DIV/0!</v>
      </c>
      <c r="Z7" s="395"/>
      <c r="AA7" s="237" t="e">
        <f>X7/$X$21</f>
        <v>#DIV/0!</v>
      </c>
      <c r="AB7" s="410"/>
    </row>
    <row r="8" spans="2:28" s="243" customFormat="1" ht="6" customHeight="1">
      <c r="B8" s="238"/>
      <c r="C8" s="239"/>
      <c r="D8" s="240"/>
      <c r="E8" s="240"/>
      <c r="F8" s="240"/>
      <c r="G8" s="241"/>
      <c r="H8" s="242"/>
      <c r="I8" s="238"/>
      <c r="J8" s="239"/>
      <c r="K8" s="240"/>
      <c r="L8" s="240"/>
      <c r="M8" s="240"/>
      <c r="N8" s="241"/>
      <c r="O8" s="242"/>
      <c r="P8" s="238"/>
      <c r="Q8" s="239"/>
      <c r="R8" s="240"/>
      <c r="S8" s="240"/>
      <c r="T8" s="240"/>
      <c r="U8" s="241"/>
      <c r="V8" s="242"/>
      <c r="W8" s="238"/>
      <c r="X8" s="239"/>
      <c r="Y8" s="237"/>
      <c r="Z8" s="240"/>
      <c r="AA8" s="240"/>
      <c r="AB8" s="241"/>
    </row>
    <row r="9" spans="2:28" ht="18.75" customHeight="1">
      <c r="B9" s="398" t="s">
        <v>170</v>
      </c>
      <c r="C9" s="401">
        <f>COUNTIF('1. All Data'!$I$3:$I$111,"In Danger of Falling Behind Target")</f>
        <v>4</v>
      </c>
      <c r="D9" s="404">
        <f>C9/C20</f>
        <v>3.669724770642202E-2</v>
      </c>
      <c r="E9" s="404">
        <f>D9</f>
        <v>3.669724770642202E-2</v>
      </c>
      <c r="F9" s="404">
        <f>C9/C21</f>
        <v>5.3333333333333337E-2</v>
      </c>
      <c r="G9" s="407">
        <f>F9</f>
        <v>5.3333333333333337E-2</v>
      </c>
      <c r="I9" s="398" t="s">
        <v>170</v>
      </c>
      <c r="J9" s="401">
        <f>COUNTIF('1. All Data'!$N$3:$N$129,"In Danger of Falling Behind Target")</f>
        <v>4</v>
      </c>
      <c r="K9" s="404">
        <f>J9/J20</f>
        <v>3.669724770642202E-2</v>
      </c>
      <c r="L9" s="404">
        <f>K9</f>
        <v>3.669724770642202E-2</v>
      </c>
      <c r="M9" s="404">
        <f>J9/J21</f>
        <v>4.7058823529411764E-2</v>
      </c>
      <c r="N9" s="407">
        <f>M9</f>
        <v>4.7058823529411764E-2</v>
      </c>
      <c r="P9" s="398" t="s">
        <v>170</v>
      </c>
      <c r="Q9" s="401">
        <f>COUNTIF('1. All Data'!$S$3:$S$111,"In Danger of Falling Behind Target")</f>
        <v>0</v>
      </c>
      <c r="R9" s="404" t="e">
        <f>Q9/Q20</f>
        <v>#DIV/0!</v>
      </c>
      <c r="S9" s="404" t="e">
        <f>R9</f>
        <v>#DIV/0!</v>
      </c>
      <c r="T9" s="404" t="e">
        <f>Q9/Q21</f>
        <v>#DIV/0!</v>
      </c>
      <c r="U9" s="407" t="e">
        <f>T9</f>
        <v>#DIV/0!</v>
      </c>
      <c r="W9" s="244" t="s">
        <v>162</v>
      </c>
      <c r="X9" s="245">
        <f>COUNTIF('1. All Data'!$W$3:$W$111,"Numerical Outturn Within 10% Tolerance")</f>
        <v>0</v>
      </c>
      <c r="Y9" s="237" t="e">
        <f>X9/$X$20</f>
        <v>#DIV/0!</v>
      </c>
      <c r="Z9" s="395" t="e">
        <f>SUM(Y9:Y11)</f>
        <v>#DIV/0!</v>
      </c>
      <c r="AA9" s="237" t="e">
        <f>X9/$X$21</f>
        <v>#DIV/0!</v>
      </c>
      <c r="AB9" s="396" t="e">
        <f>SUM(AA9:AA11)</f>
        <v>#DIV/0!</v>
      </c>
    </row>
    <row r="10" spans="2:28" ht="19.5" customHeight="1">
      <c r="B10" s="399"/>
      <c r="C10" s="402"/>
      <c r="D10" s="405"/>
      <c r="E10" s="405"/>
      <c r="F10" s="405"/>
      <c r="G10" s="408"/>
      <c r="I10" s="399"/>
      <c r="J10" s="402"/>
      <c r="K10" s="405"/>
      <c r="L10" s="405"/>
      <c r="M10" s="405"/>
      <c r="N10" s="408"/>
      <c r="P10" s="399"/>
      <c r="Q10" s="402"/>
      <c r="R10" s="405"/>
      <c r="S10" s="405"/>
      <c r="T10" s="405"/>
      <c r="U10" s="408"/>
      <c r="W10" s="244" t="s">
        <v>163</v>
      </c>
      <c r="X10" s="245">
        <f>COUNTIF('1. All Data'!$W$3:$W$111,"Target Partially Met")</f>
        <v>0</v>
      </c>
      <c r="Y10" s="237" t="e">
        <f>X10/$X$20</f>
        <v>#DIV/0!</v>
      </c>
      <c r="Z10" s="395"/>
      <c r="AA10" s="237" t="e">
        <f>X10/$X$21</f>
        <v>#DIV/0!</v>
      </c>
      <c r="AB10" s="396"/>
    </row>
    <row r="11" spans="2:28" ht="19.5" customHeight="1">
      <c r="B11" s="400"/>
      <c r="C11" s="403"/>
      <c r="D11" s="406"/>
      <c r="E11" s="406"/>
      <c r="F11" s="406"/>
      <c r="G11" s="409"/>
      <c r="I11" s="400"/>
      <c r="J11" s="403"/>
      <c r="K11" s="406"/>
      <c r="L11" s="406"/>
      <c r="M11" s="406"/>
      <c r="N11" s="409"/>
      <c r="P11" s="400"/>
      <c r="Q11" s="403"/>
      <c r="R11" s="406"/>
      <c r="S11" s="406"/>
      <c r="T11" s="406"/>
      <c r="U11" s="409"/>
      <c r="W11" s="244" t="s">
        <v>166</v>
      </c>
      <c r="X11" s="245">
        <f>COUNTIF('1. All Data'!$W$3:$W$111,"Completion Date Within Reasonable Tolerance")</f>
        <v>0</v>
      </c>
      <c r="Y11" s="237" t="e">
        <f>X11/$X$20</f>
        <v>#DIV/0!</v>
      </c>
      <c r="Z11" s="395"/>
      <c r="AA11" s="237" t="e">
        <f>X11/$X$21</f>
        <v>#DIV/0!</v>
      </c>
      <c r="AB11" s="396"/>
    </row>
    <row r="12" spans="2:28" s="234" customFormat="1" ht="6" customHeight="1">
      <c r="B12" s="231"/>
      <c r="C12" s="232"/>
      <c r="D12" s="246"/>
      <c r="E12" s="246"/>
      <c r="F12" s="246"/>
      <c r="G12" s="247"/>
      <c r="H12" s="233"/>
      <c r="I12" s="231"/>
      <c r="J12" s="232"/>
      <c r="K12" s="246"/>
      <c r="L12" s="246"/>
      <c r="M12" s="246"/>
      <c r="N12" s="247"/>
      <c r="O12" s="233"/>
      <c r="P12" s="231"/>
      <c r="Q12" s="232"/>
      <c r="R12" s="246"/>
      <c r="S12" s="246"/>
      <c r="T12" s="246"/>
      <c r="U12" s="247"/>
      <c r="V12" s="233"/>
      <c r="W12" s="231"/>
      <c r="X12" s="232"/>
      <c r="Y12" s="237"/>
      <c r="Z12" s="246"/>
      <c r="AA12" s="246"/>
      <c r="AB12" s="247"/>
    </row>
    <row r="13" spans="2:28" ht="29.25" customHeight="1">
      <c r="B13" s="248" t="s">
        <v>171</v>
      </c>
      <c r="C13" s="236">
        <f>COUNTIF('1. All Data'!I3:I111,"completed behind schedule")</f>
        <v>1</v>
      </c>
      <c r="D13" s="237">
        <f>C13/C20</f>
        <v>9.1743119266055051E-3</v>
      </c>
      <c r="E13" s="395">
        <f>D13+D14</f>
        <v>2.7522935779816515E-2</v>
      </c>
      <c r="F13" s="237">
        <f>C13/C21</f>
        <v>1.3333333333333334E-2</v>
      </c>
      <c r="G13" s="397">
        <f>F13+F14</f>
        <v>0.04</v>
      </c>
      <c r="I13" s="248" t="s">
        <v>171</v>
      </c>
      <c r="J13" s="236">
        <f>COUNTIF('1. All Data'!N3:N111,"Completed Behind Schedule")</f>
        <v>2</v>
      </c>
      <c r="K13" s="237">
        <f>J13/J20</f>
        <v>1.834862385321101E-2</v>
      </c>
      <c r="L13" s="395">
        <f>K13+K14</f>
        <v>2.7522935779816515E-2</v>
      </c>
      <c r="M13" s="237">
        <f>J13/J21</f>
        <v>2.3529411764705882E-2</v>
      </c>
      <c r="N13" s="397">
        <f>M13+M14</f>
        <v>3.5294117647058823E-2</v>
      </c>
      <c r="P13" s="248" t="s">
        <v>171</v>
      </c>
      <c r="Q13" s="236">
        <f>COUNTIF('1. All Data'!S3:S111,"completed behind schedule")</f>
        <v>0</v>
      </c>
      <c r="R13" s="237" t="e">
        <f>Q13/Q20</f>
        <v>#DIV/0!</v>
      </c>
      <c r="S13" s="395" t="e">
        <f>R13+R14</f>
        <v>#DIV/0!</v>
      </c>
      <c r="T13" s="237" t="e">
        <f>Q13/Q21</f>
        <v>#DIV/0!</v>
      </c>
      <c r="U13" s="397" t="e">
        <f>T13+T14</f>
        <v>#DIV/0!</v>
      </c>
      <c r="W13" s="248" t="s">
        <v>165</v>
      </c>
      <c r="X13" s="236">
        <f>COUNTIF('1. All Data'!W3:W111,"Completed Significantly After Target Deadline")</f>
        <v>0</v>
      </c>
      <c r="Y13" s="237" t="e">
        <f>X13/$X$20</f>
        <v>#DIV/0!</v>
      </c>
      <c r="Z13" s="395" t="e">
        <f>SUM(Y13:Y14)</f>
        <v>#DIV/0!</v>
      </c>
      <c r="AA13" s="237" t="e">
        <f>X13/$X$21</f>
        <v>#DIV/0!</v>
      </c>
      <c r="AB13" s="397" t="e">
        <f>SUM(AA13:AA14)</f>
        <v>#DIV/0!</v>
      </c>
    </row>
    <row r="14" spans="2:28" ht="29.25" customHeight="1">
      <c r="B14" s="248" t="s">
        <v>164</v>
      </c>
      <c r="C14" s="236">
        <f>COUNTIF('1. All Data'!I3:I111,"off target")</f>
        <v>2</v>
      </c>
      <c r="D14" s="237">
        <f>C14/C20</f>
        <v>1.834862385321101E-2</v>
      </c>
      <c r="E14" s="395"/>
      <c r="F14" s="237">
        <f>C14/C21</f>
        <v>2.6666666666666668E-2</v>
      </c>
      <c r="G14" s="397"/>
      <c r="I14" s="248" t="s">
        <v>164</v>
      </c>
      <c r="J14" s="236">
        <f>COUNTIF('1. All Data'!N3:N111,"Off Target")</f>
        <v>1</v>
      </c>
      <c r="K14" s="237">
        <f>J14/J20</f>
        <v>9.1743119266055051E-3</v>
      </c>
      <c r="L14" s="395"/>
      <c r="M14" s="237">
        <f>J14/J21</f>
        <v>1.1764705882352941E-2</v>
      </c>
      <c r="N14" s="397"/>
      <c r="P14" s="248" t="s">
        <v>164</v>
      </c>
      <c r="Q14" s="236">
        <f>COUNTIF('1. All Data'!S3:S111,"off target")</f>
        <v>0</v>
      </c>
      <c r="R14" s="237" t="e">
        <f>Q14/Q20</f>
        <v>#DIV/0!</v>
      </c>
      <c r="S14" s="395"/>
      <c r="T14" s="237" t="e">
        <f>Q14/Q21</f>
        <v>#DIV/0!</v>
      </c>
      <c r="U14" s="397"/>
      <c r="W14" s="248" t="s">
        <v>164</v>
      </c>
      <c r="X14" s="236">
        <f>COUNTIF('1. All Data'!W3:W111,"off target")</f>
        <v>0</v>
      </c>
      <c r="Y14" s="237" t="e">
        <f>X14/$X$20</f>
        <v>#DIV/0!</v>
      </c>
      <c r="Z14" s="395"/>
      <c r="AA14" s="237" t="e">
        <f>X14/$X$21</f>
        <v>#DIV/0!</v>
      </c>
      <c r="AB14" s="397"/>
    </row>
    <row r="15" spans="2:28" s="234" customFormat="1" ht="7.5" customHeight="1">
      <c r="B15" s="231"/>
      <c r="C15" s="249"/>
      <c r="D15" s="246"/>
      <c r="E15" s="246"/>
      <c r="F15" s="246"/>
      <c r="G15" s="250"/>
      <c r="H15" s="233"/>
      <c r="I15" s="231"/>
      <c r="J15" s="249"/>
      <c r="K15" s="246"/>
      <c r="L15" s="246"/>
      <c r="M15" s="246"/>
      <c r="N15" s="250"/>
      <c r="O15" s="233"/>
      <c r="P15" s="231"/>
      <c r="Q15" s="249"/>
      <c r="R15" s="246"/>
      <c r="S15" s="246"/>
      <c r="T15" s="246"/>
      <c r="U15" s="250"/>
      <c r="V15" s="233"/>
      <c r="W15" s="231"/>
      <c r="X15" s="249"/>
      <c r="Y15" s="246"/>
      <c r="Z15" s="246"/>
      <c r="AA15" s="246"/>
      <c r="AB15" s="250"/>
    </row>
    <row r="16" spans="2:28" ht="20.25" customHeight="1">
      <c r="B16" s="251" t="s">
        <v>193</v>
      </c>
      <c r="C16" s="236">
        <f>COUNTIF('1. All Data'!I3:I111,"not yet due")</f>
        <v>24</v>
      </c>
      <c r="D16" s="252">
        <f>C16/C20</f>
        <v>0.22018348623853212</v>
      </c>
      <c r="E16" s="252">
        <f>D16</f>
        <v>0.22018348623853212</v>
      </c>
      <c r="F16" s="253"/>
      <c r="G16" s="65"/>
      <c r="I16" s="251" t="s">
        <v>193</v>
      </c>
      <c r="J16" s="236">
        <f>COUNTIF('1. All Data'!N3:N111,"not yet due")</f>
        <v>14</v>
      </c>
      <c r="K16" s="252">
        <f>J16/J20</f>
        <v>0.12844036697247707</v>
      </c>
      <c r="L16" s="252">
        <f>K16</f>
        <v>0.12844036697247707</v>
      </c>
      <c r="M16" s="253"/>
      <c r="N16" s="65"/>
      <c r="P16" s="251" t="s">
        <v>193</v>
      </c>
      <c r="Q16" s="236">
        <f>COUNTIF('1. All Data'!S3:S111,"not yet due")</f>
        <v>0</v>
      </c>
      <c r="R16" s="252" t="e">
        <f>Q16/Q20</f>
        <v>#DIV/0!</v>
      </c>
      <c r="S16" s="252" t="e">
        <f>R16</f>
        <v>#DIV/0!</v>
      </c>
      <c r="T16" s="253"/>
      <c r="U16" s="65"/>
      <c r="W16" s="251" t="s">
        <v>193</v>
      </c>
      <c r="X16" s="236">
        <f>COUNTIF('1. All Data'!W3:W111,"not yet due")</f>
        <v>0</v>
      </c>
      <c r="Y16" s="237" t="e">
        <f>X16/$X$20</f>
        <v>#DIV/0!</v>
      </c>
      <c r="Z16" s="252" t="e">
        <f>Y16</f>
        <v>#DIV/0!</v>
      </c>
      <c r="AA16" s="253"/>
      <c r="AB16" s="65"/>
    </row>
    <row r="17" spans="2:31" ht="20.25" customHeight="1">
      <c r="B17" s="251" t="s">
        <v>159</v>
      </c>
      <c r="C17" s="236">
        <f>COUNTIF('1. All Data'!I3:I111,"update not provided")</f>
        <v>0</v>
      </c>
      <c r="D17" s="252">
        <f>C17/C20</f>
        <v>0</v>
      </c>
      <c r="E17" s="252">
        <f>D17</f>
        <v>0</v>
      </c>
      <c r="F17" s="253"/>
      <c r="G17" s="8"/>
      <c r="I17" s="251" t="s">
        <v>159</v>
      </c>
      <c r="J17" s="236">
        <f>COUNTIF('1. All Data'!N3:N111,"update not provided")</f>
        <v>0</v>
      </c>
      <c r="K17" s="252">
        <f>J17/J20</f>
        <v>0</v>
      </c>
      <c r="L17" s="252">
        <f>K17</f>
        <v>0</v>
      </c>
      <c r="M17" s="253"/>
      <c r="N17" s="8"/>
      <c r="P17" s="251" t="s">
        <v>159</v>
      </c>
      <c r="Q17" s="236">
        <f>COUNTIF('1. All Data'!S3:S111,"update not provided")</f>
        <v>0</v>
      </c>
      <c r="R17" s="252" t="e">
        <f>Q17/Q20</f>
        <v>#DIV/0!</v>
      </c>
      <c r="S17" s="252" t="e">
        <f>R17</f>
        <v>#DIV/0!</v>
      </c>
      <c r="T17" s="253"/>
      <c r="U17" s="8"/>
      <c r="W17" s="251" t="s">
        <v>159</v>
      </c>
      <c r="X17" s="236">
        <f>COUNTIF('1. All Data'!W3:W111,"update not provided")</f>
        <v>0</v>
      </c>
      <c r="Y17" s="237" t="e">
        <f>X17/$X$20</f>
        <v>#DIV/0!</v>
      </c>
      <c r="Z17" s="252" t="e">
        <f>Y17</f>
        <v>#DIV/0!</v>
      </c>
      <c r="AA17" s="253"/>
      <c r="AB17" s="8"/>
    </row>
    <row r="18" spans="2:31" ht="15.75" customHeight="1">
      <c r="B18" s="254" t="s">
        <v>167</v>
      </c>
      <c r="C18" s="236">
        <f>COUNTIF('1. All Data'!I3:I111,"deferred")</f>
        <v>8</v>
      </c>
      <c r="D18" s="255">
        <f>C18/C20</f>
        <v>7.3394495412844041E-2</v>
      </c>
      <c r="E18" s="255">
        <f>D18</f>
        <v>7.3394495412844041E-2</v>
      </c>
      <c r="F18" s="256"/>
      <c r="G18" s="65"/>
      <c r="I18" s="254" t="s">
        <v>167</v>
      </c>
      <c r="J18" s="236">
        <f>COUNTIF('1. All Data'!N3:N111,"deferred")</f>
        <v>8</v>
      </c>
      <c r="K18" s="255">
        <f>J18/J20</f>
        <v>7.3394495412844041E-2</v>
      </c>
      <c r="L18" s="255">
        <f>K18</f>
        <v>7.3394495412844041E-2</v>
      </c>
      <c r="M18" s="256"/>
      <c r="N18" s="65"/>
      <c r="P18" s="254" t="s">
        <v>167</v>
      </c>
      <c r="Q18" s="236">
        <f>COUNTIF('1. All Data'!S3:S111,"deferred")</f>
        <v>0</v>
      </c>
      <c r="R18" s="255" t="e">
        <f>Q18/Q20</f>
        <v>#DIV/0!</v>
      </c>
      <c r="S18" s="255" t="e">
        <f>R18</f>
        <v>#DIV/0!</v>
      </c>
      <c r="T18" s="256"/>
      <c r="U18" s="65"/>
      <c r="W18" s="254" t="s">
        <v>167</v>
      </c>
      <c r="X18" s="236">
        <f>COUNTIF('1. All Data'!W3:W111,"deferred")</f>
        <v>0</v>
      </c>
      <c r="Y18" s="237" t="e">
        <f>X18/$X$20</f>
        <v>#DIV/0!</v>
      </c>
      <c r="Z18" s="252" t="e">
        <f>Y18</f>
        <v>#DIV/0!</v>
      </c>
      <c r="AA18" s="256"/>
      <c r="AB18" s="65"/>
    </row>
    <row r="19" spans="2:31" ht="15.75" customHeight="1">
      <c r="B19" s="254" t="s">
        <v>168</v>
      </c>
      <c r="C19" s="236">
        <f>COUNTIF('1. All Data'!I3:I111,"deleted")</f>
        <v>2</v>
      </c>
      <c r="D19" s="255">
        <f>C19/C20</f>
        <v>1.834862385321101E-2</v>
      </c>
      <c r="E19" s="255">
        <f>D19</f>
        <v>1.834862385321101E-2</v>
      </c>
      <c r="F19" s="256"/>
      <c r="G19" s="9"/>
      <c r="I19" s="254" t="s">
        <v>168</v>
      </c>
      <c r="J19" s="236">
        <f>COUNTIF('1. All Data'!N3:N111,"deleted")</f>
        <v>2</v>
      </c>
      <c r="K19" s="255">
        <f>J19/J20</f>
        <v>1.834862385321101E-2</v>
      </c>
      <c r="L19" s="255">
        <f>K19</f>
        <v>1.834862385321101E-2</v>
      </c>
      <c r="M19" s="256"/>
      <c r="P19" s="254" t="s">
        <v>168</v>
      </c>
      <c r="Q19" s="236">
        <f>COUNTIF('1. All Data'!S3:S111,"deleted")</f>
        <v>0</v>
      </c>
      <c r="R19" s="255" t="e">
        <f>Q19/Q20</f>
        <v>#DIV/0!</v>
      </c>
      <c r="S19" s="255" t="e">
        <f>R19</f>
        <v>#DIV/0!</v>
      </c>
      <c r="T19" s="256"/>
      <c r="U19" s="9" t="s">
        <v>194</v>
      </c>
      <c r="W19" s="254" t="s">
        <v>168</v>
      </c>
      <c r="X19" s="236">
        <f>COUNTIF('1. All Data'!W3:W111,"deleted")</f>
        <v>0</v>
      </c>
      <c r="Y19" s="237" t="e">
        <f>X19/$X$20</f>
        <v>#DIV/0!</v>
      </c>
      <c r="Z19" s="252" t="e">
        <f t="shared" ref="Z19" si="0">Y19</f>
        <v>#DIV/0!</v>
      </c>
      <c r="AA19" s="256"/>
      <c r="AB19" s="9" t="s">
        <v>194</v>
      </c>
      <c r="AE19" s="9" t="s">
        <v>194</v>
      </c>
    </row>
    <row r="20" spans="2:31" ht="15.75" customHeight="1">
      <c r="B20" s="257" t="s">
        <v>195</v>
      </c>
      <c r="C20" s="258">
        <f>SUM(C6:C19)</f>
        <v>109</v>
      </c>
      <c r="D20" s="256"/>
      <c r="E20" s="256"/>
      <c r="F20" s="65"/>
      <c r="G20" s="65"/>
      <c r="I20" s="257" t="s">
        <v>195</v>
      </c>
      <c r="J20" s="258">
        <f>SUM(J6:J19)</f>
        <v>109</v>
      </c>
      <c r="K20" s="256"/>
      <c r="L20" s="256"/>
      <c r="M20" s="65"/>
      <c r="N20" s="65"/>
      <c r="P20" s="257" t="s">
        <v>195</v>
      </c>
      <c r="Q20" s="258">
        <f>SUM(Q6:Q19)</f>
        <v>0</v>
      </c>
      <c r="R20" s="256"/>
      <c r="S20" s="256"/>
      <c r="T20" s="65"/>
      <c r="U20" s="65"/>
      <c r="W20" s="257" t="s">
        <v>195</v>
      </c>
      <c r="X20" s="258">
        <f>SUM(X6:X19)</f>
        <v>0</v>
      </c>
      <c r="Y20" s="256"/>
      <c r="Z20" s="256"/>
      <c r="AA20" s="65"/>
      <c r="AB20" s="65"/>
    </row>
    <row r="21" spans="2:31" ht="15.75" customHeight="1">
      <c r="B21" s="257" t="s">
        <v>196</v>
      </c>
      <c r="C21" s="258">
        <f>C20-C19-C18-C17-C16</f>
        <v>75</v>
      </c>
      <c r="D21" s="65"/>
      <c r="E21" s="65"/>
      <c r="F21" s="65"/>
      <c r="G21" s="65"/>
      <c r="I21" s="257" t="s">
        <v>196</v>
      </c>
      <c r="J21" s="258">
        <f>J20-J19-J18-J17-J16</f>
        <v>85</v>
      </c>
      <c r="K21" s="65"/>
      <c r="L21" s="65"/>
      <c r="M21" s="65"/>
      <c r="N21" s="65"/>
      <c r="P21" s="257" t="s">
        <v>196</v>
      </c>
      <c r="Q21" s="258">
        <f>Q20-Q19-Q18-Q17-Q16</f>
        <v>0</v>
      </c>
      <c r="R21" s="65"/>
      <c r="S21" s="65"/>
      <c r="T21" s="65"/>
      <c r="U21" s="65"/>
      <c r="W21" s="257" t="s">
        <v>196</v>
      </c>
      <c r="X21" s="258">
        <f>X20-X19-X18-X17-X16</f>
        <v>0</v>
      </c>
      <c r="Y21" s="65"/>
      <c r="Z21" s="65"/>
      <c r="AA21" s="65"/>
      <c r="AB21" s="65"/>
    </row>
    <row r="22" spans="2:31" ht="15.75" customHeight="1">
      <c r="W22" s="259"/>
      <c r="AA22" s="8"/>
    </row>
    <row r="23" spans="2:31" ht="15.75" customHeight="1">
      <c r="AA23" s="8"/>
    </row>
    <row r="24" spans="2:31" ht="15" customHeight="1">
      <c r="AA24" s="8"/>
    </row>
    <row r="25" spans="2:31" ht="19.5" customHeight="1">
      <c r="B25" s="261" t="s">
        <v>558</v>
      </c>
      <c r="C25" s="262"/>
      <c r="D25" s="262"/>
      <c r="E25" s="262"/>
      <c r="F25" s="225"/>
      <c r="G25" s="263"/>
      <c r="I25" s="261" t="s">
        <v>558</v>
      </c>
      <c r="J25" s="262"/>
      <c r="K25" s="262"/>
      <c r="L25" s="262"/>
      <c r="M25" s="225"/>
      <c r="N25" s="263"/>
      <c r="P25" s="261" t="s">
        <v>558</v>
      </c>
      <c r="Q25" s="262"/>
      <c r="R25" s="262"/>
      <c r="S25" s="262"/>
      <c r="T25" s="225"/>
      <c r="U25" s="263"/>
      <c r="W25" s="264" t="s">
        <v>257</v>
      </c>
      <c r="X25" s="228"/>
      <c r="Y25" s="228"/>
      <c r="Z25" s="228"/>
      <c r="AA25" s="228"/>
      <c r="AB25" s="229"/>
    </row>
    <row r="26" spans="2:31" ht="42" customHeight="1">
      <c r="B26" s="230" t="s">
        <v>186</v>
      </c>
      <c r="C26" s="230" t="s">
        <v>187</v>
      </c>
      <c r="D26" s="230" t="s">
        <v>188</v>
      </c>
      <c r="E26" s="230" t="s">
        <v>189</v>
      </c>
      <c r="F26" s="230" t="s">
        <v>190</v>
      </c>
      <c r="G26" s="230" t="s">
        <v>191</v>
      </c>
      <c r="I26" s="230" t="s">
        <v>186</v>
      </c>
      <c r="J26" s="230" t="s">
        <v>187</v>
      </c>
      <c r="K26" s="230" t="s">
        <v>188</v>
      </c>
      <c r="L26" s="230" t="s">
        <v>189</v>
      </c>
      <c r="M26" s="230" t="s">
        <v>190</v>
      </c>
      <c r="N26" s="230" t="s">
        <v>191</v>
      </c>
      <c r="P26" s="230" t="s">
        <v>186</v>
      </c>
      <c r="Q26" s="230" t="s">
        <v>187</v>
      </c>
      <c r="R26" s="230" t="s">
        <v>188</v>
      </c>
      <c r="S26" s="230" t="s">
        <v>189</v>
      </c>
      <c r="T26" s="230" t="s">
        <v>190</v>
      </c>
      <c r="U26" s="230" t="s">
        <v>191</v>
      </c>
      <c r="W26" s="230" t="s">
        <v>186</v>
      </c>
      <c r="X26" s="230" t="s">
        <v>187</v>
      </c>
      <c r="Y26" s="230" t="s">
        <v>188</v>
      </c>
      <c r="Z26" s="230" t="s">
        <v>189</v>
      </c>
      <c r="AA26" s="230" t="s">
        <v>190</v>
      </c>
      <c r="AB26" s="230" t="s">
        <v>191</v>
      </c>
    </row>
    <row r="27" spans="2:31" s="234" customFormat="1" ht="6" customHeight="1">
      <c r="B27" s="231"/>
      <c r="C27" s="232"/>
      <c r="D27" s="232"/>
      <c r="E27" s="232"/>
      <c r="F27" s="232"/>
      <c r="G27" s="232"/>
      <c r="H27" s="233"/>
      <c r="I27" s="231"/>
      <c r="J27" s="232"/>
      <c r="K27" s="232"/>
      <c r="L27" s="232"/>
      <c r="M27" s="232"/>
      <c r="N27" s="232"/>
      <c r="O27" s="233"/>
      <c r="P27" s="231"/>
      <c r="Q27" s="232"/>
      <c r="R27" s="232"/>
      <c r="S27" s="232"/>
      <c r="T27" s="232"/>
      <c r="U27" s="232"/>
      <c r="V27" s="233"/>
      <c r="W27" s="231"/>
      <c r="X27" s="232"/>
      <c r="Y27" s="232"/>
      <c r="Z27" s="232"/>
      <c r="AA27" s="232"/>
      <c r="AB27" s="232"/>
    </row>
    <row r="28" spans="2:31" ht="21.75" customHeight="1">
      <c r="B28" s="235" t="s">
        <v>192</v>
      </c>
      <c r="C28" s="236">
        <f>COUNTIFS('1. All Data'!$AB$3:$AB$111,"Value For Money Council",'1. All Data'!$I$3:$I$111,"Fully Achieved")</f>
        <v>3</v>
      </c>
      <c r="D28" s="237">
        <f>C28/C42</f>
        <v>5.3571428571428568E-2</v>
      </c>
      <c r="E28" s="395">
        <f>D28+D29</f>
        <v>0.57142857142857151</v>
      </c>
      <c r="F28" s="237">
        <f>C28/C43</f>
        <v>8.1081081081081086E-2</v>
      </c>
      <c r="G28" s="410">
        <f>F28+F29</f>
        <v>0.86486486486486491</v>
      </c>
      <c r="I28" s="235" t="s">
        <v>192</v>
      </c>
      <c r="J28" s="236">
        <f>COUNTIFS('1. All Data'!$AB$3:$AB$111,"Value For Money Council",'1. All Data'!$N$3:$N$111,"Fully Achieved")</f>
        <v>4</v>
      </c>
      <c r="K28" s="237">
        <f>J28/J42</f>
        <v>7.1428571428571425E-2</v>
      </c>
      <c r="L28" s="395">
        <f>K28+K29</f>
        <v>0.64285714285714279</v>
      </c>
      <c r="M28" s="237">
        <f>J28/J43</f>
        <v>9.7560975609756101E-2</v>
      </c>
      <c r="N28" s="410">
        <f>M28+M29</f>
        <v>0.87804878048780488</v>
      </c>
      <c r="P28" s="235" t="s">
        <v>192</v>
      </c>
      <c r="Q28" s="236">
        <f>COUNTIFS('1. All Data'!$AB$3:$AB$111,"Value For Money Council",'1. All Data'!$S$3:$S$111,"Fully Achieved")</f>
        <v>0</v>
      </c>
      <c r="R28" s="237" t="e">
        <f>Q28/Q42</f>
        <v>#DIV/0!</v>
      </c>
      <c r="S28" s="395" t="e">
        <f>R28+R29</f>
        <v>#DIV/0!</v>
      </c>
      <c r="T28" s="237" t="e">
        <f>Q28/Q43</f>
        <v>#DIV/0!</v>
      </c>
      <c r="U28" s="410" t="e">
        <f>T28+T29</f>
        <v>#DIV/0!</v>
      </c>
      <c r="W28" s="235" t="s">
        <v>192</v>
      </c>
      <c r="X28" s="236">
        <f>COUNTIFS('1. All Data'!$AB$3:$AB$111,"Value For Money Council",'1. All Data'!$W$3:$W$111,"Fully Achieved")</f>
        <v>0</v>
      </c>
      <c r="Y28" s="237" t="e">
        <f>X28/X42</f>
        <v>#DIV/0!</v>
      </c>
      <c r="Z28" s="395" t="e">
        <f>Y28+Y29</f>
        <v>#DIV/0!</v>
      </c>
      <c r="AA28" s="237" t="e">
        <f>X28/X43</f>
        <v>#DIV/0!</v>
      </c>
      <c r="AB28" s="410" t="e">
        <f>AA28+AA29</f>
        <v>#DIV/0!</v>
      </c>
    </row>
    <row r="29" spans="2:31" ht="18.75" customHeight="1">
      <c r="B29" s="235" t="s">
        <v>169</v>
      </c>
      <c r="C29" s="236">
        <f>COUNTIFS('1. All Data'!$AB$3:$AB$111,"Value For Money Council",'1. All Data'!$I$3:$I$111,"On Track to be achieved")</f>
        <v>29</v>
      </c>
      <c r="D29" s="237">
        <f>C29/C42</f>
        <v>0.5178571428571429</v>
      </c>
      <c r="E29" s="395"/>
      <c r="F29" s="237">
        <f>C29/C43</f>
        <v>0.78378378378378377</v>
      </c>
      <c r="G29" s="410"/>
      <c r="I29" s="235" t="s">
        <v>169</v>
      </c>
      <c r="J29" s="236">
        <f>COUNTIFS('1. All Data'!$AB$3:$AB$111,"Value For Money Council",'1. All Data'!$N$3:$N$111,"On Track to be achieved")</f>
        <v>32</v>
      </c>
      <c r="K29" s="237">
        <f>J29/J42</f>
        <v>0.5714285714285714</v>
      </c>
      <c r="L29" s="395"/>
      <c r="M29" s="237">
        <f>J29/J43</f>
        <v>0.78048780487804881</v>
      </c>
      <c r="N29" s="410"/>
      <c r="P29" s="235" t="s">
        <v>169</v>
      </c>
      <c r="Q29" s="236">
        <f>COUNTIFS('1. All Data'!$AB$3:$AB$111,"Value For Money Council",'1. All Data'!$S$3:$S$111,"On Track to be achieved")</f>
        <v>0</v>
      </c>
      <c r="R29" s="237" t="e">
        <f>Q29/Q42</f>
        <v>#DIV/0!</v>
      </c>
      <c r="S29" s="395"/>
      <c r="T29" s="237" t="e">
        <f>Q29/Q43</f>
        <v>#DIV/0!</v>
      </c>
      <c r="U29" s="410"/>
      <c r="W29" s="235" t="s">
        <v>161</v>
      </c>
      <c r="X29" s="236">
        <f>COUNTIFS('1. All Data'!$AB$3:$AB$111,"Value For Money Council",'1. All Data'!$W$3:$W$111,"Numerical Outturn Within 5% Tolerance")</f>
        <v>0</v>
      </c>
      <c r="Y29" s="237" t="e">
        <f>X29/X42</f>
        <v>#DIV/0!</v>
      </c>
      <c r="Z29" s="395"/>
      <c r="AA29" s="237" t="e">
        <f>X29/$X$43</f>
        <v>#DIV/0!</v>
      </c>
      <c r="AB29" s="410"/>
    </row>
    <row r="30" spans="2:31" s="234" customFormat="1" ht="6" customHeight="1">
      <c r="B30" s="238"/>
      <c r="C30" s="239"/>
      <c r="D30" s="240"/>
      <c r="E30" s="240"/>
      <c r="F30" s="240"/>
      <c r="G30" s="241"/>
      <c r="H30" s="233"/>
      <c r="I30" s="238"/>
      <c r="J30" s="239"/>
      <c r="K30" s="240"/>
      <c r="L30" s="240"/>
      <c r="M30" s="240"/>
      <c r="N30" s="241"/>
      <c r="O30" s="233"/>
      <c r="P30" s="238"/>
      <c r="Q30" s="239"/>
      <c r="R30" s="240"/>
      <c r="S30" s="240"/>
      <c r="T30" s="240"/>
      <c r="U30" s="241"/>
      <c r="V30" s="233"/>
      <c r="W30" s="238"/>
      <c r="X30" s="239"/>
      <c r="Y30" s="240"/>
      <c r="Z30" s="240"/>
      <c r="AA30" s="240"/>
      <c r="AB30" s="241"/>
    </row>
    <row r="31" spans="2:31" ht="21" customHeight="1">
      <c r="B31" s="398" t="s">
        <v>170</v>
      </c>
      <c r="C31" s="401">
        <f>COUNTIFS('1. All Data'!$AB$3:$AB$111,"Value For Money Council",'1. All Data'!$I$3:$I$111,"In Danger of Falling Behind Target")</f>
        <v>2</v>
      </c>
      <c r="D31" s="404">
        <f>C31/C42</f>
        <v>3.5714285714285712E-2</v>
      </c>
      <c r="E31" s="404">
        <f>D31</f>
        <v>3.5714285714285712E-2</v>
      </c>
      <c r="F31" s="404">
        <f>C31/C43</f>
        <v>5.4054054054054057E-2</v>
      </c>
      <c r="G31" s="407">
        <f>F31</f>
        <v>5.4054054054054057E-2</v>
      </c>
      <c r="I31" s="398" t="s">
        <v>170</v>
      </c>
      <c r="J31" s="401">
        <f>COUNTIFS('1. All Data'!$AB$3:$AB$111,"Value For Money Council",'1. All Data'!$N$3:$N$111,"In Danger of Falling Behind Target")</f>
        <v>2</v>
      </c>
      <c r="K31" s="404">
        <f>J31/J42</f>
        <v>3.5714285714285712E-2</v>
      </c>
      <c r="L31" s="404">
        <f>K31</f>
        <v>3.5714285714285712E-2</v>
      </c>
      <c r="M31" s="404">
        <f>J31/J43</f>
        <v>4.878048780487805E-2</v>
      </c>
      <c r="N31" s="407">
        <f>M31</f>
        <v>4.878048780487805E-2</v>
      </c>
      <c r="P31" s="398" t="s">
        <v>170</v>
      </c>
      <c r="Q31" s="401">
        <f>COUNTIFS('1. All Data'!$AB$3:$AB$111,"Value For Money Council",'1. All Data'!$S$3:$S$111,"In Danger of Falling Behind Target")</f>
        <v>0</v>
      </c>
      <c r="R31" s="404" t="e">
        <f>Q31/Q42</f>
        <v>#DIV/0!</v>
      </c>
      <c r="S31" s="404" t="e">
        <f>R31</f>
        <v>#DIV/0!</v>
      </c>
      <c r="T31" s="404" t="e">
        <f>Q31/Q43</f>
        <v>#DIV/0!</v>
      </c>
      <c r="U31" s="407" t="e">
        <f>T31</f>
        <v>#DIV/0!</v>
      </c>
      <c r="W31" s="244" t="s">
        <v>162</v>
      </c>
      <c r="X31" s="245">
        <f>COUNTIFS('1. All Data'!$AB$3:$AB$111,"Value For Money Council",'1. All Data'!$W$3:$W$111,"Numerical Outturn Within 10% Tolerance")</f>
        <v>0</v>
      </c>
      <c r="Y31" s="237" t="e">
        <f>X31/$X$42</f>
        <v>#DIV/0!</v>
      </c>
      <c r="Z31" s="395" t="e">
        <f>SUM(Y31:Y33)</f>
        <v>#DIV/0!</v>
      </c>
      <c r="AA31" s="237" t="e">
        <f>X31/$X$43</f>
        <v>#DIV/0!</v>
      </c>
      <c r="AB31" s="396" t="e">
        <f>SUM(AA31:AA33)</f>
        <v>#DIV/0!</v>
      </c>
    </row>
    <row r="32" spans="2:31" ht="20.25" customHeight="1">
      <c r="B32" s="399"/>
      <c r="C32" s="402"/>
      <c r="D32" s="405"/>
      <c r="E32" s="405"/>
      <c r="F32" s="405"/>
      <c r="G32" s="408"/>
      <c r="I32" s="399"/>
      <c r="J32" s="402"/>
      <c r="K32" s="405"/>
      <c r="L32" s="405"/>
      <c r="M32" s="405"/>
      <c r="N32" s="408"/>
      <c r="P32" s="399"/>
      <c r="Q32" s="402"/>
      <c r="R32" s="405"/>
      <c r="S32" s="405"/>
      <c r="T32" s="405"/>
      <c r="U32" s="408"/>
      <c r="W32" s="244" t="s">
        <v>163</v>
      </c>
      <c r="X32" s="245">
        <f>COUNTIFS('1. All Data'!$AB$3:$AB$111,"Value For Money Council",'1. All Data'!$W$3:$W$111,"Target Partially Met")</f>
        <v>0</v>
      </c>
      <c r="Y32" s="237" t="e">
        <f>X32/$X$42</f>
        <v>#DIV/0!</v>
      </c>
      <c r="Z32" s="395"/>
      <c r="AA32" s="237" t="e">
        <f>X32/$X$43</f>
        <v>#DIV/0!</v>
      </c>
      <c r="AB32" s="396"/>
    </row>
    <row r="33" spans="2:30" ht="18.75" customHeight="1">
      <c r="B33" s="400"/>
      <c r="C33" s="403"/>
      <c r="D33" s="406"/>
      <c r="E33" s="406"/>
      <c r="F33" s="406"/>
      <c r="G33" s="409"/>
      <c r="I33" s="400"/>
      <c r="J33" s="403"/>
      <c r="K33" s="406"/>
      <c r="L33" s="406"/>
      <c r="M33" s="406"/>
      <c r="N33" s="409"/>
      <c r="P33" s="400"/>
      <c r="Q33" s="403"/>
      <c r="R33" s="406"/>
      <c r="S33" s="406"/>
      <c r="T33" s="406"/>
      <c r="U33" s="409"/>
      <c r="W33" s="244" t="s">
        <v>166</v>
      </c>
      <c r="X33" s="245">
        <f>COUNTIFS('1. All Data'!$AB$3:$AB$111,"Value For Money Council",'1. All Data'!$W$3:$W$111,"Completion Date Within Reasonable Tolerance")</f>
        <v>0</v>
      </c>
      <c r="Y33" s="237" t="e">
        <f>X33/$X$42</f>
        <v>#DIV/0!</v>
      </c>
      <c r="Z33" s="395"/>
      <c r="AA33" s="237" t="e">
        <f>X33/$X$43</f>
        <v>#DIV/0!</v>
      </c>
      <c r="AB33" s="396"/>
    </row>
    <row r="34" spans="2:30" s="234" customFormat="1" ht="6" customHeight="1">
      <c r="B34" s="231"/>
      <c r="C34" s="232"/>
      <c r="D34" s="246"/>
      <c r="E34" s="246"/>
      <c r="F34" s="246"/>
      <c r="G34" s="247"/>
      <c r="H34" s="233"/>
      <c r="I34" s="231"/>
      <c r="J34" s="232"/>
      <c r="K34" s="246"/>
      <c r="L34" s="246"/>
      <c r="M34" s="246"/>
      <c r="N34" s="247"/>
      <c r="O34" s="233"/>
      <c r="P34" s="231"/>
      <c r="Q34" s="232"/>
      <c r="R34" s="246"/>
      <c r="S34" s="246"/>
      <c r="T34" s="246"/>
      <c r="U34" s="247"/>
      <c r="V34" s="233"/>
      <c r="W34" s="231"/>
      <c r="X34" s="232"/>
      <c r="Y34" s="246"/>
      <c r="Z34" s="246"/>
      <c r="AA34" s="246"/>
      <c r="AB34" s="247"/>
    </row>
    <row r="35" spans="2:30" ht="20.25" customHeight="1">
      <c r="B35" s="248" t="s">
        <v>171</v>
      </c>
      <c r="C35" s="236">
        <f>COUNTIFS('1. All Data'!$AB$3:$AB$111,"Value For Money Council",'1. All Data'!$I$3:$I$111,"Completed Behind Schedule")</f>
        <v>1</v>
      </c>
      <c r="D35" s="237">
        <f>C35/C42</f>
        <v>1.7857142857142856E-2</v>
      </c>
      <c r="E35" s="395">
        <f>D35+D36</f>
        <v>5.3571428571428568E-2</v>
      </c>
      <c r="F35" s="237">
        <f>C35/C43</f>
        <v>2.7027027027027029E-2</v>
      </c>
      <c r="G35" s="397">
        <f>F35+F36</f>
        <v>8.1081081081081086E-2</v>
      </c>
      <c r="I35" s="248" t="s">
        <v>171</v>
      </c>
      <c r="J35" s="236">
        <f>COUNTIFS('1. All Data'!$AB$3:$AB$111,"Value For Money Council",'1. All Data'!$N$3:$N$111,"Completed Behind Schedule")</f>
        <v>2</v>
      </c>
      <c r="K35" s="237">
        <f>J35/J42</f>
        <v>3.5714285714285712E-2</v>
      </c>
      <c r="L35" s="395">
        <f>K35+K36</f>
        <v>5.3571428571428568E-2</v>
      </c>
      <c r="M35" s="237">
        <f>J35/J43</f>
        <v>4.878048780487805E-2</v>
      </c>
      <c r="N35" s="397">
        <f>M35+M36</f>
        <v>7.3170731707317083E-2</v>
      </c>
      <c r="P35" s="248" t="s">
        <v>171</v>
      </c>
      <c r="Q35" s="236">
        <f>COUNTIFS('1. All Data'!$AB$3:$AB$111,"Value For Money Council",'1. All Data'!$S$3:$S$111,"Completed Behind Schedule")</f>
        <v>0</v>
      </c>
      <c r="R35" s="237" t="e">
        <f>Q35/Q42</f>
        <v>#DIV/0!</v>
      </c>
      <c r="S35" s="395" t="e">
        <f>R35+R36</f>
        <v>#DIV/0!</v>
      </c>
      <c r="T35" s="237" t="e">
        <f>Q35/Q43</f>
        <v>#DIV/0!</v>
      </c>
      <c r="U35" s="397" t="e">
        <f>T35+T36</f>
        <v>#DIV/0!</v>
      </c>
      <c r="W35" s="248" t="s">
        <v>165</v>
      </c>
      <c r="X35" s="236">
        <f>COUNTIFS('1. All Data'!$AB$3:$AB$111,"Value For Money Council",'1. All Data'!$W$3:$W$111,"Completed Significantly After Target Deadline")</f>
        <v>0</v>
      </c>
      <c r="Y35" s="237" t="e">
        <f>X35/$X$42</f>
        <v>#DIV/0!</v>
      </c>
      <c r="Z35" s="395" t="e">
        <f>SUM(Y35:Y36)</f>
        <v>#DIV/0!</v>
      </c>
      <c r="AA35" s="237" t="e">
        <f>X35/$X$43</f>
        <v>#DIV/0!</v>
      </c>
      <c r="AB35" s="397" t="e">
        <f>AA35+AA36</f>
        <v>#DIV/0!</v>
      </c>
    </row>
    <row r="36" spans="2:30" ht="20.25" customHeight="1">
      <c r="B36" s="248" t="s">
        <v>164</v>
      </c>
      <c r="C36" s="236">
        <f>COUNTIFS('1. All Data'!$AB$3:$AB$111,"Value For Money Council",'1. All Data'!$I$3:$I$111,"Off Target")</f>
        <v>2</v>
      </c>
      <c r="D36" s="237">
        <f>C36/C42</f>
        <v>3.5714285714285712E-2</v>
      </c>
      <c r="E36" s="395"/>
      <c r="F36" s="237">
        <f>C36/C43</f>
        <v>5.4054054054054057E-2</v>
      </c>
      <c r="G36" s="397"/>
      <c r="I36" s="248" t="s">
        <v>164</v>
      </c>
      <c r="J36" s="236">
        <f>COUNTIFS('1. All Data'!$AB$3:$AB$111,"Value For Money Council",'1. All Data'!$N$3:$N$111,"Off Target")</f>
        <v>1</v>
      </c>
      <c r="K36" s="237">
        <f>J36/J42</f>
        <v>1.7857142857142856E-2</v>
      </c>
      <c r="L36" s="395"/>
      <c r="M36" s="237">
        <f>J36/J43</f>
        <v>2.4390243902439025E-2</v>
      </c>
      <c r="N36" s="397"/>
      <c r="P36" s="248" t="s">
        <v>164</v>
      </c>
      <c r="Q36" s="236">
        <f>COUNTIFS('1. All Data'!$AB$3:$AB$111,"Value For Money Council",'1. All Data'!$S$3:$S$111,"Off Target")</f>
        <v>0</v>
      </c>
      <c r="R36" s="237" t="e">
        <f>Q36/Q42</f>
        <v>#DIV/0!</v>
      </c>
      <c r="S36" s="395"/>
      <c r="T36" s="237" t="e">
        <f>Q36/Q43</f>
        <v>#DIV/0!</v>
      </c>
      <c r="U36" s="397"/>
      <c r="W36" s="248" t="s">
        <v>164</v>
      </c>
      <c r="X36" s="236">
        <f>COUNTIFS('1. All Data'!$AB$3:$AB$111,"Value For Money Council",'1. All Data'!$W$3:$W$111,"Off Target")</f>
        <v>0</v>
      </c>
      <c r="Y36" s="237" t="e">
        <f>X36/$X$42</f>
        <v>#DIV/0!</v>
      </c>
      <c r="Z36" s="395"/>
      <c r="AA36" s="237" t="e">
        <f>X36/$X$43</f>
        <v>#DIV/0!</v>
      </c>
      <c r="AB36" s="397"/>
    </row>
    <row r="37" spans="2:30" s="234" customFormat="1" ht="6.75" customHeight="1">
      <c r="B37" s="231"/>
      <c r="C37" s="249"/>
      <c r="D37" s="246"/>
      <c r="E37" s="246"/>
      <c r="F37" s="246"/>
      <c r="G37" s="250"/>
      <c r="H37" s="233"/>
      <c r="I37" s="231"/>
      <c r="J37" s="249"/>
      <c r="K37" s="246"/>
      <c r="L37" s="246"/>
      <c r="M37" s="246"/>
      <c r="N37" s="250"/>
      <c r="O37" s="233"/>
      <c r="P37" s="231"/>
      <c r="Q37" s="249"/>
      <c r="R37" s="246"/>
      <c r="S37" s="246"/>
      <c r="T37" s="246"/>
      <c r="U37" s="250"/>
      <c r="V37" s="233"/>
      <c r="W37" s="231"/>
      <c r="X37" s="249"/>
      <c r="Y37" s="246"/>
      <c r="Z37" s="246"/>
      <c r="AA37" s="246"/>
      <c r="AB37" s="250"/>
    </row>
    <row r="38" spans="2:30" ht="15" customHeight="1">
      <c r="B38" s="251" t="s">
        <v>193</v>
      </c>
      <c r="C38" s="236">
        <f>COUNTIFS('1. All Data'!$AB$3:$AB$111,"Value For Money Council",'1. All Data'!$I$3:$I$111,"Not yet due")</f>
        <v>15</v>
      </c>
      <c r="D38" s="252">
        <f>C38/C42</f>
        <v>0.26785714285714285</v>
      </c>
      <c r="E38" s="252">
        <f>D38</f>
        <v>0.26785714285714285</v>
      </c>
      <c r="F38" s="253"/>
      <c r="G38" s="65"/>
      <c r="I38" s="251" t="s">
        <v>193</v>
      </c>
      <c r="J38" s="236">
        <f>COUNTIFS('1. All Data'!$AB$3:$AB$111,"Value For Money Council",'1. All Data'!$N$3:$N$111,"Not yet due")</f>
        <v>11</v>
      </c>
      <c r="K38" s="252">
        <f>J38/J42</f>
        <v>0.19642857142857142</v>
      </c>
      <c r="L38" s="252">
        <f>K38</f>
        <v>0.19642857142857142</v>
      </c>
      <c r="M38" s="253"/>
      <c r="N38" s="65"/>
      <c r="P38" s="251" t="s">
        <v>193</v>
      </c>
      <c r="Q38" s="236">
        <f>COUNTIFS('1. All Data'!$AB$3:$AB$111,"Value For Money Council",'1. All Data'!$S$3:$S$111,"Not yet due")</f>
        <v>0</v>
      </c>
      <c r="R38" s="252" t="e">
        <f>Q38/Q42</f>
        <v>#DIV/0!</v>
      </c>
      <c r="S38" s="252" t="e">
        <f>R38</f>
        <v>#DIV/0!</v>
      </c>
      <c r="T38" s="253"/>
      <c r="U38" s="65"/>
      <c r="W38" s="251" t="s">
        <v>193</v>
      </c>
      <c r="X38" s="236">
        <f>COUNTIFS('1. All Data'!$AB$3:$AB$111,"Value For Money Council",'1. All Data'!$W$3:$W$111,"Not yet due")</f>
        <v>0</v>
      </c>
      <c r="Y38" s="237" t="e">
        <f t="shared" ref="Y38:Y41" si="1">X38/$X$42</f>
        <v>#DIV/0!</v>
      </c>
      <c r="Z38" s="237" t="e">
        <f>Y38</f>
        <v>#DIV/0!</v>
      </c>
      <c r="AA38" s="253"/>
      <c r="AB38" s="65"/>
    </row>
    <row r="39" spans="2:30" ht="15" customHeight="1">
      <c r="B39" s="251" t="s">
        <v>159</v>
      </c>
      <c r="C39" s="236">
        <f>COUNTIFS('1. All Data'!$AB$3:$AB$111,"Value For Money Council",'1. All Data'!$I$3:$I$111,"update not provided")</f>
        <v>0</v>
      </c>
      <c r="D39" s="252">
        <f>C39/C42</f>
        <v>0</v>
      </c>
      <c r="E39" s="252">
        <f>D39</f>
        <v>0</v>
      </c>
      <c r="F39" s="253"/>
      <c r="G39" s="8"/>
      <c r="I39" s="251" t="s">
        <v>159</v>
      </c>
      <c r="J39" s="236">
        <f>COUNTIFS('1. All Data'!$AB$3:$AB$111,"Value For Money Council",'1. All Data'!$N$3:$N$111,"update not provided")</f>
        <v>0</v>
      </c>
      <c r="K39" s="252">
        <f>J39/J42</f>
        <v>0</v>
      </c>
      <c r="L39" s="252">
        <f>K39</f>
        <v>0</v>
      </c>
      <c r="M39" s="253"/>
      <c r="N39" s="8"/>
      <c r="P39" s="251" t="s">
        <v>159</v>
      </c>
      <c r="Q39" s="236">
        <f>COUNTIFS('1. All Data'!$AB$3:$AB$111,"Value For Money Council",'1. All Data'!$S$3:$S$111,"update not provided")</f>
        <v>0</v>
      </c>
      <c r="R39" s="252" t="e">
        <f>Q39/Q42</f>
        <v>#DIV/0!</v>
      </c>
      <c r="S39" s="252" t="e">
        <f>R39</f>
        <v>#DIV/0!</v>
      </c>
      <c r="T39" s="253"/>
      <c r="U39" s="8"/>
      <c r="W39" s="251" t="s">
        <v>159</v>
      </c>
      <c r="X39" s="236">
        <f>COUNTIFS('1. All Data'!$AB$3:$AB$111,"Value For Money Council",'1. All Data'!$W$3:$W$111,"update not provided")</f>
        <v>0</v>
      </c>
      <c r="Y39" s="237" t="e">
        <f t="shared" si="1"/>
        <v>#DIV/0!</v>
      </c>
      <c r="Z39" s="237" t="e">
        <f t="shared" ref="Z39:Z41" si="2">Y39</f>
        <v>#DIV/0!</v>
      </c>
      <c r="AA39" s="253"/>
      <c r="AB39" s="8"/>
    </row>
    <row r="40" spans="2:30" ht="15.75" customHeight="1">
      <c r="B40" s="254" t="s">
        <v>167</v>
      </c>
      <c r="C40" s="236">
        <f>COUNTIFS('1. All Data'!$AB$3:$AB$111,"Value For Money Council",'1. All Data'!$I$3:$I$111,"Deferred")</f>
        <v>2</v>
      </c>
      <c r="D40" s="255">
        <f>C40/C42</f>
        <v>3.5714285714285712E-2</v>
      </c>
      <c r="E40" s="255">
        <f>D40</f>
        <v>3.5714285714285712E-2</v>
      </c>
      <c r="F40" s="256"/>
      <c r="G40" s="65"/>
      <c r="I40" s="254" t="s">
        <v>167</v>
      </c>
      <c r="J40" s="236">
        <f>COUNTIFS('1. All Data'!$AB$3:$AB$111,"Value For Money Council",'1. All Data'!$N$3:$N$111,"Deferred")</f>
        <v>2</v>
      </c>
      <c r="K40" s="255">
        <f>J40/J42</f>
        <v>3.5714285714285712E-2</v>
      </c>
      <c r="L40" s="255">
        <f>K40</f>
        <v>3.5714285714285712E-2</v>
      </c>
      <c r="M40" s="256"/>
      <c r="N40" s="65"/>
      <c r="P40" s="254" t="s">
        <v>167</v>
      </c>
      <c r="Q40" s="236">
        <f>COUNTIFS('1. All Data'!$AB$3:$AB$111,"Value For Money Council",'1. All Data'!$S$3:$S$111,"Deferred")</f>
        <v>0</v>
      </c>
      <c r="R40" s="255" t="e">
        <f>Q40/Q42</f>
        <v>#DIV/0!</v>
      </c>
      <c r="S40" s="255" t="e">
        <f>R40</f>
        <v>#DIV/0!</v>
      </c>
      <c r="T40" s="256"/>
      <c r="U40" s="65"/>
      <c r="W40" s="254" t="s">
        <v>167</v>
      </c>
      <c r="X40" s="236">
        <f>COUNTIFS('1. All Data'!$AB$3:$AB$111,"Value For Money Council",'1. All Data'!$W$3:$W$111,"Deferred")</f>
        <v>0</v>
      </c>
      <c r="Y40" s="237" t="e">
        <f t="shared" si="1"/>
        <v>#DIV/0!</v>
      </c>
      <c r="Z40" s="237" t="e">
        <f t="shared" si="2"/>
        <v>#DIV/0!</v>
      </c>
      <c r="AA40" s="256"/>
      <c r="AB40" s="65"/>
    </row>
    <row r="41" spans="2:30" ht="15.75" customHeight="1">
      <c r="B41" s="254" t="s">
        <v>168</v>
      </c>
      <c r="C41" s="236">
        <f>COUNTIFS('1. All Data'!$AB$3:$AB$111,"Value For Money Council",'1. All Data'!$I$3:$I$111,"Deleted")</f>
        <v>2</v>
      </c>
      <c r="D41" s="255">
        <f>C41/C42</f>
        <v>3.5714285714285712E-2</v>
      </c>
      <c r="E41" s="255">
        <f>D41</f>
        <v>3.5714285714285712E-2</v>
      </c>
      <c r="F41" s="256"/>
      <c r="G41" s="9" t="s">
        <v>194</v>
      </c>
      <c r="I41" s="254" t="s">
        <v>168</v>
      </c>
      <c r="J41" s="236">
        <f>COUNTIFS('1. All Data'!$AB$3:$AB$111,"Value For Money Council",'1. All Data'!$N$3:$N$111,"Deleted")</f>
        <v>2</v>
      </c>
      <c r="K41" s="255">
        <f>J41/J42</f>
        <v>3.5714285714285712E-2</v>
      </c>
      <c r="L41" s="255">
        <f>K41</f>
        <v>3.5714285714285712E-2</v>
      </c>
      <c r="M41" s="256"/>
      <c r="N41" s="9"/>
      <c r="P41" s="254" t="s">
        <v>168</v>
      </c>
      <c r="Q41" s="236">
        <f>COUNTIFS('1. All Data'!$AB$3:$AB$111,"Value For Money Council",'1. All Data'!$S$3:$S$111,"Deleted")</f>
        <v>0</v>
      </c>
      <c r="R41" s="255" t="e">
        <f>Q41/Q42</f>
        <v>#DIV/0!</v>
      </c>
      <c r="S41" s="255" t="e">
        <f>R41</f>
        <v>#DIV/0!</v>
      </c>
      <c r="T41" s="256"/>
      <c r="U41" s="9" t="s">
        <v>194</v>
      </c>
      <c r="W41" s="254" t="s">
        <v>168</v>
      </c>
      <c r="X41" s="236">
        <f>COUNTIFS('1. All Data'!$AB$3:$AB$111,"Value For Money Council",'1. All Data'!$W$3:$W$111,"Deleted")</f>
        <v>0</v>
      </c>
      <c r="Y41" s="237" t="e">
        <f t="shared" si="1"/>
        <v>#DIV/0!</v>
      </c>
      <c r="Z41" s="237" t="e">
        <f t="shared" si="2"/>
        <v>#DIV/0!</v>
      </c>
      <c r="AA41" s="256"/>
      <c r="AD41" s="9" t="s">
        <v>194</v>
      </c>
    </row>
    <row r="42" spans="2:30" ht="15.75" customHeight="1">
      <c r="B42" s="257" t="s">
        <v>195</v>
      </c>
      <c r="C42" s="258">
        <f>SUM(C28:C41)</f>
        <v>56</v>
      </c>
      <c r="D42" s="256"/>
      <c r="E42" s="256"/>
      <c r="F42" s="65"/>
      <c r="G42" s="65"/>
      <c r="I42" s="257" t="s">
        <v>195</v>
      </c>
      <c r="J42" s="258">
        <f>SUM(J28:J41)</f>
        <v>56</v>
      </c>
      <c r="K42" s="256"/>
      <c r="L42" s="256"/>
      <c r="M42" s="65"/>
      <c r="N42" s="65"/>
      <c r="P42" s="257" t="s">
        <v>195</v>
      </c>
      <c r="Q42" s="258">
        <f>SUM(Q28:Q41)</f>
        <v>0</v>
      </c>
      <c r="R42" s="256"/>
      <c r="S42" s="256"/>
      <c r="T42" s="65"/>
      <c r="U42" s="65"/>
      <c r="W42" s="257" t="s">
        <v>195</v>
      </c>
      <c r="X42" s="258">
        <f>SUM(X28:X41)</f>
        <v>0</v>
      </c>
      <c r="Y42" s="256"/>
      <c r="Z42" s="256"/>
      <c r="AA42" s="65"/>
      <c r="AB42" s="65"/>
    </row>
    <row r="43" spans="2:30" ht="15.75" customHeight="1">
      <c r="B43" s="257" t="s">
        <v>196</v>
      </c>
      <c r="C43" s="258">
        <f>C42-C41-C40-C39-C38</f>
        <v>37</v>
      </c>
      <c r="D43" s="65"/>
      <c r="E43" s="65"/>
      <c r="F43" s="65"/>
      <c r="G43" s="65"/>
      <c r="I43" s="257" t="s">
        <v>196</v>
      </c>
      <c r="J43" s="258">
        <f>J42-J41-J40-J39-J38</f>
        <v>41</v>
      </c>
      <c r="K43" s="65"/>
      <c r="L43" s="65"/>
      <c r="M43" s="65"/>
      <c r="N43" s="65"/>
      <c r="P43" s="257" t="s">
        <v>196</v>
      </c>
      <c r="Q43" s="258">
        <f>Q42-Q41-Q40-Q39-Q38</f>
        <v>0</v>
      </c>
      <c r="R43" s="65"/>
      <c r="S43" s="65"/>
      <c r="T43" s="65"/>
      <c r="U43" s="65"/>
      <c r="W43" s="257" t="s">
        <v>196</v>
      </c>
      <c r="X43" s="258">
        <f>X42-X41-X40-X39-X38</f>
        <v>0</v>
      </c>
      <c r="Y43" s="65"/>
      <c r="Z43" s="65"/>
      <c r="AA43" s="65"/>
      <c r="AB43" s="65"/>
    </row>
    <row r="44" spans="2:30" ht="15.75" customHeight="1">
      <c r="W44" s="265"/>
      <c r="X44" s="233"/>
      <c r="Y44" s="233"/>
      <c r="Z44" s="233"/>
      <c r="AA44" s="65"/>
      <c r="AB44" s="266"/>
    </row>
    <row r="45" spans="2:30" ht="15.75" customHeight="1"/>
    <row r="46" spans="2:30" s="234" customFormat="1" ht="15.75" customHeight="1">
      <c r="B46" s="267"/>
      <c r="C46" s="233"/>
      <c r="D46" s="233"/>
      <c r="E46" s="233"/>
      <c r="F46" s="65"/>
      <c r="G46" s="233"/>
      <c r="H46" s="233"/>
      <c r="I46" s="267"/>
      <c r="J46" s="233"/>
      <c r="K46" s="233"/>
      <c r="L46" s="233"/>
      <c r="M46" s="65"/>
      <c r="N46" s="233"/>
      <c r="O46" s="233"/>
      <c r="P46" s="267"/>
      <c r="Q46" s="233"/>
      <c r="R46" s="233"/>
      <c r="S46" s="233"/>
      <c r="T46" s="65"/>
      <c r="U46" s="233"/>
      <c r="V46" s="233"/>
      <c r="W46" s="233"/>
      <c r="X46" s="233"/>
      <c r="Y46" s="233"/>
      <c r="Z46" s="233"/>
      <c r="AA46" s="233"/>
      <c r="AB46" s="266"/>
    </row>
    <row r="47" spans="2:30" ht="15.75" customHeight="1">
      <c r="B47" s="268" t="s">
        <v>198</v>
      </c>
      <c r="C47" s="269"/>
      <c r="D47" s="269"/>
      <c r="E47" s="269"/>
      <c r="F47" s="270"/>
      <c r="G47" s="271"/>
      <c r="I47" s="268" t="s">
        <v>198</v>
      </c>
      <c r="J47" s="269"/>
      <c r="K47" s="269"/>
      <c r="L47" s="269"/>
      <c r="M47" s="270"/>
      <c r="N47" s="271"/>
      <c r="P47" s="268" t="s">
        <v>198</v>
      </c>
      <c r="Q47" s="269"/>
      <c r="R47" s="269"/>
      <c r="S47" s="269"/>
      <c r="T47" s="270"/>
      <c r="U47" s="271"/>
      <c r="W47" s="268" t="s">
        <v>198</v>
      </c>
      <c r="X47" s="228"/>
      <c r="Y47" s="228"/>
      <c r="Z47" s="228"/>
      <c r="AA47" s="228"/>
      <c r="AB47" s="229"/>
    </row>
    <row r="48" spans="2:30" ht="36" customHeight="1">
      <c r="B48" s="230" t="s">
        <v>186</v>
      </c>
      <c r="C48" s="230" t="s">
        <v>187</v>
      </c>
      <c r="D48" s="230" t="s">
        <v>188</v>
      </c>
      <c r="E48" s="230" t="s">
        <v>189</v>
      </c>
      <c r="F48" s="230" t="s">
        <v>190</v>
      </c>
      <c r="G48" s="230" t="s">
        <v>191</v>
      </c>
      <c r="I48" s="230" t="s">
        <v>186</v>
      </c>
      <c r="J48" s="230" t="s">
        <v>187</v>
      </c>
      <c r="K48" s="230" t="s">
        <v>188</v>
      </c>
      <c r="L48" s="230" t="s">
        <v>189</v>
      </c>
      <c r="M48" s="230" t="s">
        <v>190</v>
      </c>
      <c r="N48" s="230" t="s">
        <v>191</v>
      </c>
      <c r="P48" s="230" t="s">
        <v>186</v>
      </c>
      <c r="Q48" s="230" t="s">
        <v>187</v>
      </c>
      <c r="R48" s="230" t="s">
        <v>188</v>
      </c>
      <c r="S48" s="230" t="s">
        <v>189</v>
      </c>
      <c r="T48" s="230" t="s">
        <v>190</v>
      </c>
      <c r="U48" s="230" t="s">
        <v>191</v>
      </c>
      <c r="W48" s="230" t="s">
        <v>186</v>
      </c>
      <c r="X48" s="230" t="s">
        <v>187</v>
      </c>
      <c r="Y48" s="230" t="s">
        <v>188</v>
      </c>
      <c r="Z48" s="230" t="s">
        <v>189</v>
      </c>
      <c r="AA48" s="230" t="s">
        <v>190</v>
      </c>
      <c r="AB48" s="230" t="s">
        <v>191</v>
      </c>
    </row>
    <row r="49" spans="2:30" s="243" customFormat="1" ht="7.5" customHeight="1">
      <c r="B49" s="231"/>
      <c r="C49" s="232"/>
      <c r="D49" s="232"/>
      <c r="E49" s="232"/>
      <c r="F49" s="232"/>
      <c r="G49" s="232"/>
      <c r="H49" s="242"/>
      <c r="I49" s="231"/>
      <c r="J49" s="232"/>
      <c r="K49" s="232"/>
      <c r="L49" s="232"/>
      <c r="M49" s="232"/>
      <c r="N49" s="232"/>
      <c r="O49" s="242"/>
      <c r="P49" s="231"/>
      <c r="Q49" s="232"/>
      <c r="R49" s="232"/>
      <c r="S49" s="232"/>
      <c r="T49" s="232"/>
      <c r="U49" s="232"/>
      <c r="V49" s="242"/>
      <c r="W49" s="231"/>
      <c r="X49" s="232"/>
      <c r="Y49" s="232"/>
      <c r="Z49" s="232"/>
      <c r="AA49" s="232"/>
      <c r="AB49" s="232"/>
    </row>
    <row r="50" spans="2:30" ht="18.75" customHeight="1">
      <c r="B50" s="235" t="s">
        <v>192</v>
      </c>
      <c r="C50" s="236">
        <f>COUNTIFS('1. All Data'!$AB$3:$AB$111,"Environment and Health &amp; Wellbeing",'1. All Data'!$I$3:$I$111,"Fully Achieved")</f>
        <v>0</v>
      </c>
      <c r="D50" s="237">
        <f>C50/C64</f>
        <v>0</v>
      </c>
      <c r="E50" s="395">
        <f>D50+D51</f>
        <v>0.61538461538461542</v>
      </c>
      <c r="F50" s="237">
        <f>C50/C65</f>
        <v>0</v>
      </c>
      <c r="G50" s="410">
        <f>F50+F51</f>
        <v>0.94117647058823528</v>
      </c>
      <c r="I50" s="235" t="s">
        <v>192</v>
      </c>
      <c r="J50" s="236">
        <f>COUNTIFS('1. All Data'!$AB$3:$AB$111,"Environment and Health &amp; Wellbeing",'1. All Data'!$N$3:$N$111,"Fully Achieved")</f>
        <v>1</v>
      </c>
      <c r="K50" s="237">
        <f>J50/J64</f>
        <v>3.8461538461538464E-2</v>
      </c>
      <c r="L50" s="395">
        <f>K50+K51</f>
        <v>0.73076923076923073</v>
      </c>
      <c r="M50" s="237">
        <f>J50/J65</f>
        <v>0.05</v>
      </c>
      <c r="N50" s="410">
        <f>M50+M51</f>
        <v>0.95000000000000007</v>
      </c>
      <c r="P50" s="235" t="s">
        <v>192</v>
      </c>
      <c r="Q50" s="236">
        <f>COUNTIFS('1. All Data'!$AB$3:$AB$111,"Environment and Health &amp; Wellbeing",'1. All Data'!$S$3:$S$111,"Fully Achieved")</f>
        <v>0</v>
      </c>
      <c r="R50" s="237" t="e">
        <f>Q50/Q64</f>
        <v>#DIV/0!</v>
      </c>
      <c r="S50" s="395" t="e">
        <f>R50+R51</f>
        <v>#DIV/0!</v>
      </c>
      <c r="T50" s="237" t="e">
        <f>Q50/Q65</f>
        <v>#DIV/0!</v>
      </c>
      <c r="U50" s="410" t="e">
        <f>T50+T51</f>
        <v>#DIV/0!</v>
      </c>
      <c r="W50" s="235" t="s">
        <v>192</v>
      </c>
      <c r="X50" s="236">
        <f>COUNTIFS('1. All Data'!$AB$3:$AB$111,"Environment and Health &amp; Wellbeing",'1. All Data'!$W$3:$W$111,"Fully Achieved")</f>
        <v>0</v>
      </c>
      <c r="Y50" s="237" t="e">
        <f>X50/X64</f>
        <v>#DIV/0!</v>
      </c>
      <c r="Z50" s="395" t="e">
        <f>Y50+Y51</f>
        <v>#DIV/0!</v>
      </c>
      <c r="AA50" s="237" t="e">
        <f>X50/X65</f>
        <v>#DIV/0!</v>
      </c>
      <c r="AB50" s="410" t="e">
        <f>AA50+AA51</f>
        <v>#DIV/0!</v>
      </c>
    </row>
    <row r="51" spans="2:30" ht="18.75" customHeight="1">
      <c r="B51" s="235" t="s">
        <v>169</v>
      </c>
      <c r="C51" s="236">
        <f>COUNTIFS('1. All Data'!$AB$3:$AB$111,"Environment and Health &amp; Wellbeing",'1. All Data'!$I$3:$I$111,"On Track to be achieved")</f>
        <v>16</v>
      </c>
      <c r="D51" s="237">
        <f>C51/C64</f>
        <v>0.61538461538461542</v>
      </c>
      <c r="E51" s="395"/>
      <c r="F51" s="237">
        <f>C51/C65</f>
        <v>0.94117647058823528</v>
      </c>
      <c r="G51" s="410"/>
      <c r="I51" s="235" t="s">
        <v>169</v>
      </c>
      <c r="J51" s="236">
        <f>COUNTIFS('1. All Data'!$AB$3:$AB$111,"Environment and Health &amp; Wellbeing",'1. All Data'!$N$3:$N$111,"On Track to be achieved")</f>
        <v>18</v>
      </c>
      <c r="K51" s="237">
        <f>J51/J64</f>
        <v>0.69230769230769229</v>
      </c>
      <c r="L51" s="395"/>
      <c r="M51" s="237">
        <f>J51/J65</f>
        <v>0.9</v>
      </c>
      <c r="N51" s="410"/>
      <c r="P51" s="235" t="s">
        <v>169</v>
      </c>
      <c r="Q51" s="236">
        <f>COUNTIFS('1. All Data'!$AB$3:$AB$111,"Environment and Health &amp; Wellbeing",'1. All Data'!$S$3:$S$111,"On Track to be achieved")</f>
        <v>0</v>
      </c>
      <c r="R51" s="237" t="e">
        <f>Q51/Q64</f>
        <v>#DIV/0!</v>
      </c>
      <c r="S51" s="395"/>
      <c r="T51" s="237" t="e">
        <f>Q51/Q65</f>
        <v>#DIV/0!</v>
      </c>
      <c r="U51" s="410"/>
      <c r="W51" s="235" t="s">
        <v>161</v>
      </c>
      <c r="X51" s="236">
        <f>COUNTIFS('1. All Data'!$AB$3:$AB$111,"Environment and Health &amp; Wellbeing",'1. All Data'!$W$3:$W$111,"Numerical Outturn Within 5% Tolerance")</f>
        <v>0</v>
      </c>
      <c r="Y51" s="237" t="e">
        <f>X51/X64</f>
        <v>#DIV/0!</v>
      </c>
      <c r="Z51" s="395"/>
      <c r="AA51" s="237" t="e">
        <f>X51/X65</f>
        <v>#DIV/0!</v>
      </c>
      <c r="AB51" s="410"/>
    </row>
    <row r="52" spans="2:30" s="243" customFormat="1" ht="6.75" customHeight="1">
      <c r="B52" s="238"/>
      <c r="C52" s="239"/>
      <c r="D52" s="240"/>
      <c r="E52" s="240"/>
      <c r="F52" s="240"/>
      <c r="G52" s="241"/>
      <c r="H52" s="242"/>
      <c r="I52" s="238"/>
      <c r="J52" s="239"/>
      <c r="K52" s="240"/>
      <c r="L52" s="240"/>
      <c r="M52" s="240"/>
      <c r="N52" s="241"/>
      <c r="O52" s="242"/>
      <c r="P52" s="238"/>
      <c r="Q52" s="239"/>
      <c r="R52" s="240"/>
      <c r="S52" s="240"/>
      <c r="T52" s="240"/>
      <c r="U52" s="241"/>
      <c r="V52" s="242"/>
      <c r="W52" s="238"/>
      <c r="X52" s="239"/>
      <c r="Y52" s="240"/>
      <c r="Z52" s="240"/>
      <c r="AA52" s="240"/>
      <c r="AB52" s="241"/>
    </row>
    <row r="53" spans="2:30" ht="19.5" customHeight="1">
      <c r="B53" s="398" t="s">
        <v>170</v>
      </c>
      <c r="C53" s="401">
        <f>COUNTIFS('1. All Data'!$AB$3:$AB$111,"Environment and Health &amp; Wellbeing",'1. All Data'!$I$3:$I$111,"In Danger of Falling Behind Target")</f>
        <v>1</v>
      </c>
      <c r="D53" s="404">
        <f>C53/C64</f>
        <v>3.8461538461538464E-2</v>
      </c>
      <c r="E53" s="404">
        <f>D53</f>
        <v>3.8461538461538464E-2</v>
      </c>
      <c r="F53" s="404">
        <f>C53/C65</f>
        <v>5.8823529411764705E-2</v>
      </c>
      <c r="G53" s="407">
        <f>F53</f>
        <v>5.8823529411764705E-2</v>
      </c>
      <c r="I53" s="398" t="s">
        <v>170</v>
      </c>
      <c r="J53" s="401">
        <f>COUNTIFS('1. All Data'!$AB$3:$AB$111,"Environment and Health &amp; Wellbeing",'1. All Data'!$N$3:$N$111,"In Danger of Falling Behind Target")</f>
        <v>1</v>
      </c>
      <c r="K53" s="404">
        <f>J53/J64</f>
        <v>3.8461538461538464E-2</v>
      </c>
      <c r="L53" s="404">
        <f>K53</f>
        <v>3.8461538461538464E-2</v>
      </c>
      <c r="M53" s="404">
        <f>J53/J65</f>
        <v>0.05</v>
      </c>
      <c r="N53" s="407">
        <f>M53</f>
        <v>0.05</v>
      </c>
      <c r="P53" s="398" t="s">
        <v>170</v>
      </c>
      <c r="Q53" s="401">
        <f>COUNTIFS('1. All Data'!$AB$3:$AB$111,"Environment and Health &amp; Wellbeing",'1. All Data'!$S$3:$S$111,"In Danger of Falling Behind Target")</f>
        <v>0</v>
      </c>
      <c r="R53" s="404" t="e">
        <f>Q53/Q64</f>
        <v>#DIV/0!</v>
      </c>
      <c r="S53" s="404" t="e">
        <f>R53</f>
        <v>#DIV/0!</v>
      </c>
      <c r="T53" s="404" t="e">
        <f>Q53/Q65</f>
        <v>#DIV/0!</v>
      </c>
      <c r="U53" s="407" t="e">
        <f>T53</f>
        <v>#DIV/0!</v>
      </c>
      <c r="W53" s="244" t="s">
        <v>162</v>
      </c>
      <c r="X53" s="245">
        <f>COUNTIFS('1. All Data'!$AB$3:$AB$111,"Environment and Health &amp; Wellbeing",'1. All Data'!$W$3:$W$111,"Numerical Outturn Within 10% Tolerance")</f>
        <v>0</v>
      </c>
      <c r="Y53" s="237" t="e">
        <f>X53/X64</f>
        <v>#DIV/0!</v>
      </c>
      <c r="Z53" s="395" t="e">
        <f>SUM(Y53:Y55)</f>
        <v>#DIV/0!</v>
      </c>
      <c r="AA53" s="237" t="e">
        <f>X53/X65</f>
        <v>#DIV/0!</v>
      </c>
      <c r="AB53" s="396" t="e">
        <f>SUM(AA53:AA55)</f>
        <v>#DIV/0!</v>
      </c>
    </row>
    <row r="54" spans="2:30" ht="19.5" customHeight="1">
      <c r="B54" s="399"/>
      <c r="C54" s="402"/>
      <c r="D54" s="405"/>
      <c r="E54" s="405"/>
      <c r="F54" s="405"/>
      <c r="G54" s="408"/>
      <c r="I54" s="399"/>
      <c r="J54" s="402"/>
      <c r="K54" s="405"/>
      <c r="L54" s="405"/>
      <c r="M54" s="405"/>
      <c r="N54" s="408"/>
      <c r="P54" s="399"/>
      <c r="Q54" s="402"/>
      <c r="R54" s="405"/>
      <c r="S54" s="405"/>
      <c r="T54" s="405"/>
      <c r="U54" s="408"/>
      <c r="W54" s="244" t="s">
        <v>163</v>
      </c>
      <c r="X54" s="245">
        <f>COUNTIFS('1. All Data'!$AB$3:$AB$111,"Environment and Health &amp; Wellbeing",'1. All Data'!$W$3:$W$111,"Target Partially Met")</f>
        <v>0</v>
      </c>
      <c r="Y54" s="237" t="e">
        <f>X54/X64</f>
        <v>#DIV/0!</v>
      </c>
      <c r="Z54" s="395"/>
      <c r="AA54" s="237" t="e">
        <f>X54/X65</f>
        <v>#DIV/0!</v>
      </c>
      <c r="AB54" s="396"/>
    </row>
    <row r="55" spans="2:30" ht="19.5" customHeight="1">
      <c r="B55" s="400"/>
      <c r="C55" s="403"/>
      <c r="D55" s="406"/>
      <c r="E55" s="406"/>
      <c r="F55" s="406"/>
      <c r="G55" s="409"/>
      <c r="I55" s="400"/>
      <c r="J55" s="403"/>
      <c r="K55" s="406"/>
      <c r="L55" s="406"/>
      <c r="M55" s="406"/>
      <c r="N55" s="409"/>
      <c r="P55" s="400"/>
      <c r="Q55" s="403"/>
      <c r="R55" s="406"/>
      <c r="S55" s="406"/>
      <c r="T55" s="406"/>
      <c r="U55" s="409"/>
      <c r="W55" s="244" t="s">
        <v>166</v>
      </c>
      <c r="X55" s="245">
        <f>COUNTIFS('1. All Data'!$AB$3:$AB$111,"Environment and Health &amp; Wellbeing",'1. All Data'!$W$3:$W$111,"Completion Date Within Reasonable Tolerance")</f>
        <v>0</v>
      </c>
      <c r="Y55" s="237" t="e">
        <f>X55/X64</f>
        <v>#DIV/0!</v>
      </c>
      <c r="Z55" s="395"/>
      <c r="AA55" s="237" t="e">
        <f>X55/X65</f>
        <v>#DIV/0!</v>
      </c>
      <c r="AB55" s="396"/>
    </row>
    <row r="56" spans="2:30" s="243" customFormat="1" ht="6" customHeight="1">
      <c r="B56" s="231"/>
      <c r="C56" s="232"/>
      <c r="D56" s="246"/>
      <c r="E56" s="246"/>
      <c r="F56" s="246"/>
      <c r="G56" s="247"/>
      <c r="H56" s="242"/>
      <c r="I56" s="231"/>
      <c r="J56" s="232"/>
      <c r="K56" s="246"/>
      <c r="L56" s="246"/>
      <c r="M56" s="246"/>
      <c r="N56" s="247"/>
      <c r="O56" s="242"/>
      <c r="P56" s="231"/>
      <c r="Q56" s="232"/>
      <c r="R56" s="246"/>
      <c r="S56" s="246"/>
      <c r="T56" s="246"/>
      <c r="U56" s="247"/>
      <c r="V56" s="242"/>
      <c r="W56" s="231"/>
      <c r="X56" s="232"/>
      <c r="Y56" s="246"/>
      <c r="Z56" s="246"/>
      <c r="AA56" s="246"/>
      <c r="AB56" s="247"/>
    </row>
    <row r="57" spans="2:30" ht="22.5" customHeight="1">
      <c r="B57" s="248" t="s">
        <v>171</v>
      </c>
      <c r="C57" s="236">
        <f>COUNTIFS('1. All Data'!$AB$3:$AB$111,"Environment and Health &amp; Wellbeing",'1. All Data'!$I$3:$I$111,"Completed Behind Schedule")</f>
        <v>0</v>
      </c>
      <c r="D57" s="237">
        <f>C57/C64</f>
        <v>0</v>
      </c>
      <c r="E57" s="395">
        <f>D57+D58</f>
        <v>0</v>
      </c>
      <c r="F57" s="237">
        <f>C57/C65</f>
        <v>0</v>
      </c>
      <c r="G57" s="397">
        <f>F57+F58</f>
        <v>0</v>
      </c>
      <c r="I57" s="248" t="s">
        <v>171</v>
      </c>
      <c r="J57" s="236">
        <f>COUNTIFS('1. All Data'!$AB$3:$AB$111,"Environment and Health &amp; Wellbeing",'1. All Data'!$N$3:$N$111,"Completed Behind Schedule")</f>
        <v>0</v>
      </c>
      <c r="K57" s="237">
        <f>J57/J64</f>
        <v>0</v>
      </c>
      <c r="L57" s="395">
        <f>K57+K58</f>
        <v>0</v>
      </c>
      <c r="M57" s="237">
        <f>J57/J65</f>
        <v>0</v>
      </c>
      <c r="N57" s="397">
        <f>M57+M58</f>
        <v>0</v>
      </c>
      <c r="P57" s="248" t="s">
        <v>171</v>
      </c>
      <c r="Q57" s="236">
        <f>COUNTIFS('1. All Data'!$AB$3:$AB$111,"Environment and Health &amp; Wellbeing",'1. All Data'!$S$3:$S$111,"Completed Behind Schedule")</f>
        <v>0</v>
      </c>
      <c r="R57" s="237" t="e">
        <f>Q57/Q64</f>
        <v>#DIV/0!</v>
      </c>
      <c r="S57" s="395" t="e">
        <f>R57+R58</f>
        <v>#DIV/0!</v>
      </c>
      <c r="T57" s="237" t="e">
        <f>Q57/Q65</f>
        <v>#DIV/0!</v>
      </c>
      <c r="U57" s="397" t="e">
        <f>T57+T58</f>
        <v>#DIV/0!</v>
      </c>
      <c r="W57" s="248" t="s">
        <v>165</v>
      </c>
      <c r="X57" s="236">
        <f>COUNTIFS('1. All Data'!$AB$3:$AB$111,"Environment and Health &amp; Wellbeing",'1. All Data'!$W$3:$W$111,"Completed Significantly After Target Deadline")</f>
        <v>0</v>
      </c>
      <c r="Y57" s="237" t="e">
        <f>X57/X64</f>
        <v>#DIV/0!</v>
      </c>
      <c r="Z57" s="395" t="e">
        <f>SUM(Y57:Y58)</f>
        <v>#DIV/0!</v>
      </c>
      <c r="AA57" s="237" t="e">
        <f>X57/X65</f>
        <v>#DIV/0!</v>
      </c>
      <c r="AB57" s="397" t="e">
        <f>AA57+AA58</f>
        <v>#DIV/0!</v>
      </c>
    </row>
    <row r="58" spans="2:30" ht="22.5" customHeight="1">
      <c r="B58" s="248" t="s">
        <v>164</v>
      </c>
      <c r="C58" s="236">
        <f>COUNTIFS('1. All Data'!$AB$3:$AB$111,"Environment and Health &amp; Wellbeing",'1. All Data'!$I$3:$I$111,"Off Target")</f>
        <v>0</v>
      </c>
      <c r="D58" s="237">
        <f>C58/C64</f>
        <v>0</v>
      </c>
      <c r="E58" s="395"/>
      <c r="F58" s="237">
        <f>C58/C65</f>
        <v>0</v>
      </c>
      <c r="G58" s="397"/>
      <c r="I58" s="248" t="s">
        <v>164</v>
      </c>
      <c r="J58" s="236">
        <f>COUNTIFS('1. All Data'!$AB$3:$AB$111,"Environment and Health &amp; Wellbeing",'1. All Data'!$N$3:$N$111,"Off Target")</f>
        <v>0</v>
      </c>
      <c r="K58" s="237">
        <f>J58/J64</f>
        <v>0</v>
      </c>
      <c r="L58" s="395"/>
      <c r="M58" s="237">
        <f>J58/J65</f>
        <v>0</v>
      </c>
      <c r="N58" s="397"/>
      <c r="P58" s="248" t="s">
        <v>164</v>
      </c>
      <c r="Q58" s="236">
        <f>COUNTIFS('1. All Data'!$AB$3:$AB$111,"Environment and Health &amp; Wellbeing",'1. All Data'!$S$3:$S$111,"Off Target")</f>
        <v>0</v>
      </c>
      <c r="R58" s="237" t="e">
        <f>Q58/Q64</f>
        <v>#DIV/0!</v>
      </c>
      <c r="S58" s="395"/>
      <c r="T58" s="237" t="e">
        <f>Q58/Q65</f>
        <v>#DIV/0!</v>
      </c>
      <c r="U58" s="397"/>
      <c r="W58" s="248" t="s">
        <v>164</v>
      </c>
      <c r="X58" s="236">
        <f>COUNTIFS('1. All Data'!$AB$3:$AB$111,"Environment and Health &amp; Wellbeing",'1. All Data'!$W$3:$W$111,"Off Target")</f>
        <v>0</v>
      </c>
      <c r="Y58" s="237" t="e">
        <f>X58/X64</f>
        <v>#DIV/0!</v>
      </c>
      <c r="Z58" s="395"/>
      <c r="AA58" s="237" t="e">
        <f>X58/X65</f>
        <v>#DIV/0!</v>
      </c>
      <c r="AB58" s="397"/>
    </row>
    <row r="59" spans="2:30" s="243" customFormat="1" ht="6.75" customHeight="1">
      <c r="B59" s="231"/>
      <c r="C59" s="249"/>
      <c r="D59" s="246"/>
      <c r="E59" s="246"/>
      <c r="F59" s="246"/>
      <c r="G59" s="250"/>
      <c r="H59" s="242"/>
      <c r="I59" s="231"/>
      <c r="J59" s="249"/>
      <c r="K59" s="246"/>
      <c r="L59" s="246"/>
      <c r="M59" s="246"/>
      <c r="N59" s="250"/>
      <c r="O59" s="242"/>
      <c r="P59" s="231"/>
      <c r="Q59" s="249"/>
      <c r="R59" s="246"/>
      <c r="S59" s="246"/>
      <c r="T59" s="246"/>
      <c r="U59" s="250"/>
      <c r="V59" s="242"/>
      <c r="W59" s="231"/>
      <c r="X59" s="249"/>
      <c r="Y59" s="246"/>
      <c r="Z59" s="246"/>
      <c r="AA59" s="246"/>
      <c r="AB59" s="250"/>
    </row>
    <row r="60" spans="2:30" ht="15.75" customHeight="1">
      <c r="B60" s="251" t="s">
        <v>193</v>
      </c>
      <c r="C60" s="236">
        <f>COUNTIFS('1. All Data'!$AB$3:$AB$111,"Environment and Health &amp; Wellbeing",'1. All Data'!$I$3:$I$111,"Not yet due")</f>
        <v>5</v>
      </c>
      <c r="D60" s="252">
        <f>C60/C64</f>
        <v>0.19230769230769232</v>
      </c>
      <c r="E60" s="252">
        <f>D60</f>
        <v>0.19230769230769232</v>
      </c>
      <c r="F60" s="253"/>
      <c r="G60" s="65"/>
      <c r="I60" s="251" t="s">
        <v>193</v>
      </c>
      <c r="J60" s="236">
        <f>COUNTIFS('1. All Data'!$AB$3:$AB$111,"Environment and Health &amp; Wellbeing",'1. All Data'!$N$3:$N$111,"Not yet due")</f>
        <v>2</v>
      </c>
      <c r="K60" s="252">
        <f>J60/J64</f>
        <v>7.6923076923076927E-2</v>
      </c>
      <c r="L60" s="252">
        <f>K60</f>
        <v>7.6923076923076927E-2</v>
      </c>
      <c r="M60" s="253"/>
      <c r="N60" s="65"/>
      <c r="P60" s="251" t="s">
        <v>193</v>
      </c>
      <c r="Q60" s="236">
        <f>COUNTIFS('1. All Data'!$AB$3:$AB$111,"Environment and Health &amp; Wellbeing",'1. All Data'!$S$3:$S$111,"Not yet due")</f>
        <v>0</v>
      </c>
      <c r="R60" s="252" t="e">
        <f>Q60/Q64</f>
        <v>#DIV/0!</v>
      </c>
      <c r="S60" s="252" t="e">
        <f>R60</f>
        <v>#DIV/0!</v>
      </c>
      <c r="T60" s="253"/>
      <c r="U60" s="65"/>
      <c r="W60" s="251" t="s">
        <v>193</v>
      </c>
      <c r="X60" s="236">
        <f>COUNTIFS('1. All Data'!$AB$3:$AB$111,"Environment and Health &amp; Wellbeing",'1. All Data'!$W$3:$W$111,"Not yet due")</f>
        <v>0</v>
      </c>
      <c r="Y60" s="237" t="e">
        <f>X60/X64</f>
        <v>#DIV/0!</v>
      </c>
      <c r="Z60" s="237" t="e">
        <f>Y60</f>
        <v>#DIV/0!</v>
      </c>
      <c r="AA60" s="253"/>
      <c r="AB60" s="65"/>
    </row>
    <row r="61" spans="2:30" ht="15.75" customHeight="1">
      <c r="B61" s="251" t="s">
        <v>159</v>
      </c>
      <c r="C61" s="236">
        <f>COUNTIFS('1. All Data'!$AB$3:$AB$111,"Environment and Health &amp; Wellbeing",'1. All Data'!$I$3:$I$111,"update not provided")</f>
        <v>0</v>
      </c>
      <c r="D61" s="252">
        <f>C61/C64</f>
        <v>0</v>
      </c>
      <c r="E61" s="252">
        <f>D61</f>
        <v>0</v>
      </c>
      <c r="F61" s="253"/>
      <c r="G61" s="8"/>
      <c r="I61" s="251" t="s">
        <v>159</v>
      </c>
      <c r="J61" s="236">
        <f>COUNTIFS('1. All Data'!$AB$3:$AB$111,"Environment and Health &amp; Wellbeing",'1. All Data'!$N$3:$N$111,"update not provided")</f>
        <v>0</v>
      </c>
      <c r="K61" s="252">
        <f>J61/J64</f>
        <v>0</v>
      </c>
      <c r="L61" s="252">
        <f>K61</f>
        <v>0</v>
      </c>
      <c r="M61" s="253"/>
      <c r="N61" s="8"/>
      <c r="P61" s="251" t="s">
        <v>159</v>
      </c>
      <c r="Q61" s="236">
        <f>COUNTIFS('1. All Data'!$AB$3:$AB$111,"Environment and Health &amp; Wellbeing",'1. All Data'!$S$3:$S$111,"update not provided")</f>
        <v>0</v>
      </c>
      <c r="R61" s="252" t="e">
        <f>Q61/Q64</f>
        <v>#DIV/0!</v>
      </c>
      <c r="S61" s="252" t="e">
        <f>R61</f>
        <v>#DIV/0!</v>
      </c>
      <c r="T61" s="253"/>
      <c r="U61" s="8"/>
      <c r="W61" s="251" t="s">
        <v>159</v>
      </c>
      <c r="X61" s="236">
        <f>COUNTIFS('1. All Data'!$AB$3:$AB$111,"Environment and Health &amp; Wellbeing",'1. All Data'!$W$3:$W$111,"update not provided")</f>
        <v>0</v>
      </c>
      <c r="Y61" s="237" t="e">
        <f>X61/X64</f>
        <v>#DIV/0!</v>
      </c>
      <c r="Z61" s="237" t="e">
        <f t="shared" ref="Z61:Z63" si="3">Y61</f>
        <v>#DIV/0!</v>
      </c>
      <c r="AA61" s="253"/>
      <c r="AB61" s="8"/>
    </row>
    <row r="62" spans="2:30" ht="15.75" customHeight="1">
      <c r="B62" s="254" t="s">
        <v>167</v>
      </c>
      <c r="C62" s="236">
        <f>COUNTIFS('1. All Data'!$AB$3:$AB$111,"Environment and Health &amp; Wellbeing",'1. All Data'!$I$3:$I$111,"Deferred")</f>
        <v>4</v>
      </c>
      <c r="D62" s="255">
        <f>C62/C64</f>
        <v>0.15384615384615385</v>
      </c>
      <c r="E62" s="255">
        <f>D62</f>
        <v>0.15384615384615385</v>
      </c>
      <c r="F62" s="256"/>
      <c r="G62" s="65"/>
      <c r="I62" s="254" t="s">
        <v>167</v>
      </c>
      <c r="J62" s="236">
        <f>COUNTIFS('1. All Data'!$AB$3:$AB$111,"Environment and Health &amp; Wellbeing",'1. All Data'!$N$3:$N$111,"Deferred")</f>
        <v>4</v>
      </c>
      <c r="K62" s="255">
        <f>J62/J64</f>
        <v>0.15384615384615385</v>
      </c>
      <c r="L62" s="255">
        <f>K62</f>
        <v>0.15384615384615385</v>
      </c>
      <c r="M62" s="256"/>
      <c r="N62" s="65"/>
      <c r="P62" s="254" t="s">
        <v>167</v>
      </c>
      <c r="Q62" s="236">
        <f>COUNTIFS('1. All Data'!$AB$3:$AB$111,"Environment and Health &amp; Wellbeing",'1. All Data'!$S$3:$S$111,"Deferred")</f>
        <v>0</v>
      </c>
      <c r="R62" s="255" t="e">
        <f>Q62/Q64</f>
        <v>#DIV/0!</v>
      </c>
      <c r="S62" s="255" t="e">
        <f>R62</f>
        <v>#DIV/0!</v>
      </c>
      <c r="T62" s="256"/>
      <c r="U62" s="65"/>
      <c r="W62" s="254" t="s">
        <v>167</v>
      </c>
      <c r="X62" s="236">
        <f>COUNTIFS('1. All Data'!$AB$3:$AB$111,"Environment and Health &amp; Wellbeing",'1. All Data'!$W$3:$W$111,"Deferred")</f>
        <v>0</v>
      </c>
      <c r="Y62" s="237" t="e">
        <f>X62/X64</f>
        <v>#DIV/0!</v>
      </c>
      <c r="Z62" s="237" t="e">
        <f t="shared" si="3"/>
        <v>#DIV/0!</v>
      </c>
      <c r="AA62" s="256"/>
      <c r="AB62" s="65"/>
    </row>
    <row r="63" spans="2:30" ht="15.75" customHeight="1">
      <c r="B63" s="254" t="s">
        <v>168</v>
      </c>
      <c r="C63" s="272">
        <f>COUNTIFS('1. All Data'!$AB$3:$AB$111,"Environment and Health &amp; Wellbeing",'1. All Data'!$I$3:$I$111,"Deleted")</f>
        <v>0</v>
      </c>
      <c r="D63" s="255">
        <f>C63/C64</f>
        <v>0</v>
      </c>
      <c r="E63" s="255">
        <f>D63</f>
        <v>0</v>
      </c>
      <c r="F63" s="256"/>
      <c r="G63" s="9" t="s">
        <v>194</v>
      </c>
      <c r="I63" s="254" t="s">
        <v>168</v>
      </c>
      <c r="J63" s="272">
        <f>COUNTIFS('1. All Data'!$AB$3:$AB$111,"Environment and Health &amp; Wellbeing",'1. All Data'!$N$3:$N$111,"Deleted")</f>
        <v>0</v>
      </c>
      <c r="K63" s="255">
        <f>J63/J64</f>
        <v>0</v>
      </c>
      <c r="L63" s="255">
        <f>K63</f>
        <v>0</v>
      </c>
      <c r="M63" s="256"/>
      <c r="N63" s="9"/>
      <c r="P63" s="254" t="s">
        <v>168</v>
      </c>
      <c r="Q63" s="272">
        <f>COUNTIFS('1. All Data'!$AB$3:$AB$111,"Environment and Health &amp; Wellbeing",'1. All Data'!$S$3:$S$111,"Deleted")</f>
        <v>0</v>
      </c>
      <c r="R63" s="255" t="e">
        <f>Q63/Q64</f>
        <v>#DIV/0!</v>
      </c>
      <c r="S63" s="255" t="e">
        <f>R63</f>
        <v>#DIV/0!</v>
      </c>
      <c r="T63" s="256"/>
      <c r="U63" s="9" t="s">
        <v>194</v>
      </c>
      <c r="W63" s="254" t="s">
        <v>168</v>
      </c>
      <c r="X63" s="236">
        <f>COUNTIFS('1. All Data'!$AB$3:$AB$111,"Environment and Health &amp; Wellbeing",'1. All Data'!$W$3:$W$111,"Deleted")</f>
        <v>0</v>
      </c>
      <c r="Y63" s="237" t="e">
        <f>X63/X64</f>
        <v>#DIV/0!</v>
      </c>
      <c r="Z63" s="237" t="e">
        <f t="shared" si="3"/>
        <v>#DIV/0!</v>
      </c>
      <c r="AA63" s="256"/>
      <c r="AD63" s="9" t="s">
        <v>194</v>
      </c>
    </row>
    <row r="64" spans="2:30" ht="15.75" customHeight="1">
      <c r="B64" s="273" t="s">
        <v>195</v>
      </c>
      <c r="C64" s="258">
        <f>SUM(C50:C63)</f>
        <v>26</v>
      </c>
      <c r="D64" s="256"/>
      <c r="E64" s="256"/>
      <c r="F64" s="65"/>
      <c r="G64" s="65"/>
      <c r="I64" s="273" t="s">
        <v>195</v>
      </c>
      <c r="J64" s="258">
        <f>SUM(J50:J63)</f>
        <v>26</v>
      </c>
      <c r="K64" s="256"/>
      <c r="L64" s="256"/>
      <c r="M64" s="65"/>
      <c r="N64" s="65"/>
      <c r="P64" s="273" t="s">
        <v>195</v>
      </c>
      <c r="Q64" s="258">
        <f>SUM(Q50:Q63)</f>
        <v>0</v>
      </c>
      <c r="R64" s="256"/>
      <c r="S64" s="256"/>
      <c r="T64" s="65"/>
      <c r="U64" s="65"/>
      <c r="W64" s="257" t="s">
        <v>195</v>
      </c>
      <c r="X64" s="258">
        <f>SUM(X50:X63)</f>
        <v>0</v>
      </c>
      <c r="Y64" s="256"/>
      <c r="Z64" s="256"/>
      <c r="AA64" s="65"/>
      <c r="AB64" s="65"/>
    </row>
    <row r="65" spans="2:28" ht="15.75" customHeight="1">
      <c r="B65" s="273" t="s">
        <v>196</v>
      </c>
      <c r="C65" s="258">
        <f>C64-C63-C62-C61-C60</f>
        <v>17</v>
      </c>
      <c r="D65" s="65"/>
      <c r="E65" s="65"/>
      <c r="F65" s="65"/>
      <c r="G65" s="65"/>
      <c r="I65" s="273" t="s">
        <v>196</v>
      </c>
      <c r="J65" s="258">
        <f>J64-J63-J62-J61-J60</f>
        <v>20</v>
      </c>
      <c r="K65" s="65"/>
      <c r="L65" s="65"/>
      <c r="M65" s="65"/>
      <c r="N65" s="65"/>
      <c r="P65" s="273" t="s">
        <v>196</v>
      </c>
      <c r="Q65" s="258">
        <f>Q64-Q63-Q62-Q61-Q60</f>
        <v>0</v>
      </c>
      <c r="R65" s="65"/>
      <c r="S65" s="65"/>
      <c r="T65" s="65"/>
      <c r="U65" s="65"/>
      <c r="W65" s="257" t="s">
        <v>196</v>
      </c>
      <c r="X65" s="258">
        <f>X64-X63-X62-X61-X60</f>
        <v>0</v>
      </c>
      <c r="Y65" s="65"/>
      <c r="Z65" s="65"/>
      <c r="AA65" s="65"/>
      <c r="AB65" s="65"/>
    </row>
    <row r="66" spans="2:28" ht="15.75" customHeight="1">
      <c r="X66" s="274"/>
    </row>
    <row r="67" spans="2:28" ht="15.75" customHeight="1">
      <c r="X67" s="274"/>
    </row>
    <row r="68" spans="2:28" ht="15.75" customHeight="1">
      <c r="X68" s="274"/>
    </row>
    <row r="69" spans="2:28" ht="15.75" customHeight="1">
      <c r="B69" s="268" t="s">
        <v>199</v>
      </c>
      <c r="C69" s="269"/>
      <c r="D69" s="269"/>
      <c r="E69" s="269"/>
      <c r="F69" s="270"/>
      <c r="G69" s="271"/>
      <c r="I69" s="268" t="s">
        <v>199</v>
      </c>
      <c r="J69" s="269"/>
      <c r="K69" s="269"/>
      <c r="L69" s="269"/>
      <c r="M69" s="270"/>
      <c r="N69" s="271"/>
      <c r="P69" s="268" t="s">
        <v>199</v>
      </c>
      <c r="Q69" s="269"/>
      <c r="R69" s="269"/>
      <c r="S69" s="269"/>
      <c r="T69" s="270"/>
      <c r="U69" s="271"/>
      <c r="W69" s="268" t="s">
        <v>199</v>
      </c>
      <c r="X69" s="275"/>
      <c r="Y69" s="228"/>
      <c r="Z69" s="228"/>
      <c r="AA69" s="228"/>
      <c r="AB69" s="229"/>
    </row>
    <row r="70" spans="2:28" ht="41.25" customHeight="1">
      <c r="B70" s="230" t="s">
        <v>186</v>
      </c>
      <c r="C70" s="230" t="s">
        <v>187</v>
      </c>
      <c r="D70" s="230" t="s">
        <v>188</v>
      </c>
      <c r="E70" s="230" t="s">
        <v>189</v>
      </c>
      <c r="F70" s="230" t="s">
        <v>190</v>
      </c>
      <c r="G70" s="230" t="s">
        <v>191</v>
      </c>
      <c r="I70" s="230" t="s">
        <v>186</v>
      </c>
      <c r="J70" s="230" t="s">
        <v>187</v>
      </c>
      <c r="K70" s="230" t="s">
        <v>188</v>
      </c>
      <c r="L70" s="230" t="s">
        <v>189</v>
      </c>
      <c r="M70" s="230" t="s">
        <v>190</v>
      </c>
      <c r="N70" s="230" t="s">
        <v>191</v>
      </c>
      <c r="P70" s="230" t="s">
        <v>186</v>
      </c>
      <c r="Q70" s="230" t="s">
        <v>187</v>
      </c>
      <c r="R70" s="230" t="s">
        <v>188</v>
      </c>
      <c r="S70" s="230" t="s">
        <v>189</v>
      </c>
      <c r="T70" s="230" t="s">
        <v>190</v>
      </c>
      <c r="U70" s="230" t="s">
        <v>191</v>
      </c>
      <c r="W70" s="230" t="s">
        <v>186</v>
      </c>
      <c r="X70" s="230" t="s">
        <v>187</v>
      </c>
      <c r="Y70" s="230" t="s">
        <v>188</v>
      </c>
      <c r="Z70" s="230" t="s">
        <v>189</v>
      </c>
      <c r="AA70" s="230" t="s">
        <v>190</v>
      </c>
      <c r="AB70" s="230" t="s">
        <v>191</v>
      </c>
    </row>
    <row r="71" spans="2:28" ht="6.75" customHeight="1">
      <c r="B71" s="231"/>
      <c r="C71" s="232"/>
      <c r="D71" s="232"/>
      <c r="E71" s="232"/>
      <c r="F71" s="232"/>
      <c r="G71" s="232"/>
      <c r="I71" s="231"/>
      <c r="J71" s="232"/>
      <c r="K71" s="232"/>
      <c r="L71" s="232"/>
      <c r="M71" s="232"/>
      <c r="N71" s="232"/>
      <c r="P71" s="231"/>
      <c r="Q71" s="232"/>
      <c r="R71" s="232"/>
      <c r="S71" s="232"/>
      <c r="T71" s="232"/>
      <c r="U71" s="232"/>
      <c r="W71" s="231"/>
      <c r="X71" s="232"/>
      <c r="Y71" s="232"/>
      <c r="Z71" s="232"/>
      <c r="AA71" s="232"/>
      <c r="AB71" s="232"/>
    </row>
    <row r="72" spans="2:28" ht="27.75" customHeight="1">
      <c r="B72" s="235" t="s">
        <v>192</v>
      </c>
      <c r="C72" s="236">
        <f>COUNTIFS('1. All Data'!$AB$3:$AB$111,"Community Regeneration",'1. All Data'!$I$3:$I$111,"Fully Achieved")</f>
        <v>1</v>
      </c>
      <c r="D72" s="237">
        <f>C72/C86</f>
        <v>3.7037037037037035E-2</v>
      </c>
      <c r="E72" s="395">
        <f>D72+D73</f>
        <v>0.7407407407407407</v>
      </c>
      <c r="F72" s="237">
        <f>C72/C87</f>
        <v>4.7619047619047616E-2</v>
      </c>
      <c r="G72" s="410">
        <f>F72+F73</f>
        <v>0.95238095238095233</v>
      </c>
      <c r="I72" s="235" t="s">
        <v>192</v>
      </c>
      <c r="J72" s="236">
        <f>COUNTIFS('1. All Data'!$AB$3:$AB$111,"Community Regeneration",'1. All Data'!$N$3:$N$111,"Fully Achieved")</f>
        <v>3</v>
      </c>
      <c r="K72" s="237">
        <f>J72/J86</f>
        <v>0.1111111111111111</v>
      </c>
      <c r="L72" s="395">
        <f>K72+K73</f>
        <v>0.85185185185185186</v>
      </c>
      <c r="M72" s="237">
        <f>J72/J87</f>
        <v>0.125</v>
      </c>
      <c r="N72" s="410">
        <f>M72+M73</f>
        <v>0.95833333333333337</v>
      </c>
      <c r="P72" s="235" t="s">
        <v>192</v>
      </c>
      <c r="Q72" s="236">
        <f>COUNTIFS('1. All Data'!$AB$3:$AB$111,"Community Regeneration",'1. All Data'!$S$3:$S$111,"Fully Achieved")</f>
        <v>0</v>
      </c>
      <c r="R72" s="237" t="e">
        <f>Q72/Q86</f>
        <v>#DIV/0!</v>
      </c>
      <c r="S72" s="395" t="e">
        <f>R72+R73</f>
        <v>#DIV/0!</v>
      </c>
      <c r="T72" s="237" t="e">
        <f>Q72/Q87</f>
        <v>#DIV/0!</v>
      </c>
      <c r="U72" s="410" t="e">
        <f>T72+T73</f>
        <v>#DIV/0!</v>
      </c>
      <c r="W72" s="235" t="s">
        <v>192</v>
      </c>
      <c r="X72" s="236">
        <f>COUNTIFS('1. All Data'!$AB$3:$AB$111,"Community Regeneration",'1. All Data'!$W$3:$W$111,"Fully Achieved")</f>
        <v>0</v>
      </c>
      <c r="Y72" s="237" t="e">
        <f>X72/X86</f>
        <v>#DIV/0!</v>
      </c>
      <c r="Z72" s="395" t="e">
        <f>Y72+Y73</f>
        <v>#DIV/0!</v>
      </c>
      <c r="AA72" s="237" t="e">
        <f>X72/X87</f>
        <v>#DIV/0!</v>
      </c>
      <c r="AB72" s="410" t="e">
        <f>AA72+AA73</f>
        <v>#DIV/0!</v>
      </c>
    </row>
    <row r="73" spans="2:28" ht="27.75" customHeight="1">
      <c r="B73" s="235" t="s">
        <v>169</v>
      </c>
      <c r="C73" s="236">
        <f>COUNTIFS('1. All Data'!$AB$3:$AB$111,"Community Regeneration",'1. All Data'!$I$3:$I$111,"On Track to be achieved")</f>
        <v>19</v>
      </c>
      <c r="D73" s="237">
        <f>C73/C86</f>
        <v>0.70370370370370372</v>
      </c>
      <c r="E73" s="395"/>
      <c r="F73" s="237">
        <f>C73/C87</f>
        <v>0.90476190476190477</v>
      </c>
      <c r="G73" s="410"/>
      <c r="I73" s="235" t="s">
        <v>169</v>
      </c>
      <c r="J73" s="236">
        <f>COUNTIFS('1. All Data'!$AB$3:$AB$111,"Community Regeneration",'1. All Data'!$N$3:$N$111,"On Track to be achieved")</f>
        <v>20</v>
      </c>
      <c r="K73" s="237">
        <f>J73/J86</f>
        <v>0.7407407407407407</v>
      </c>
      <c r="L73" s="395"/>
      <c r="M73" s="237">
        <f>J73/J87</f>
        <v>0.83333333333333337</v>
      </c>
      <c r="N73" s="410"/>
      <c r="P73" s="235" t="s">
        <v>169</v>
      </c>
      <c r="Q73" s="236">
        <f>COUNTIFS('1. All Data'!$AB$3:$AB$111,"Community Regeneration",'1. All Data'!$S$3:$S$111,"On Track to be achieved")</f>
        <v>0</v>
      </c>
      <c r="R73" s="237" t="e">
        <f>Q73/Q86</f>
        <v>#DIV/0!</v>
      </c>
      <c r="S73" s="395"/>
      <c r="T73" s="237" t="e">
        <f>Q73/Q87</f>
        <v>#DIV/0!</v>
      </c>
      <c r="U73" s="410"/>
      <c r="W73" s="235" t="s">
        <v>161</v>
      </c>
      <c r="X73" s="236">
        <f>COUNTIFS('1. All Data'!$AB$3:$AB$111,"Community Regeneration",'1. All Data'!$W$3:$W$111,"Numerical Outturn Within 5% Tolerance")</f>
        <v>0</v>
      </c>
      <c r="Y73" s="237" t="e">
        <f>X73/X86</f>
        <v>#DIV/0!</v>
      </c>
      <c r="Z73" s="395"/>
      <c r="AA73" s="237" t="e">
        <f>X73/X87</f>
        <v>#DIV/0!</v>
      </c>
      <c r="AB73" s="410"/>
    </row>
    <row r="74" spans="2:28" ht="7.5" customHeight="1">
      <c r="B74" s="238"/>
      <c r="C74" s="239"/>
      <c r="D74" s="240"/>
      <c r="E74" s="240"/>
      <c r="F74" s="240"/>
      <c r="G74" s="241"/>
      <c r="I74" s="238"/>
      <c r="J74" s="239"/>
      <c r="K74" s="240"/>
      <c r="L74" s="240"/>
      <c r="M74" s="240"/>
      <c r="N74" s="241"/>
      <c r="P74" s="238"/>
      <c r="Q74" s="239"/>
      <c r="R74" s="240"/>
      <c r="S74" s="240"/>
      <c r="T74" s="240"/>
      <c r="U74" s="241"/>
      <c r="W74" s="238"/>
      <c r="X74" s="239"/>
      <c r="Y74" s="240"/>
      <c r="Z74" s="240"/>
      <c r="AA74" s="240"/>
      <c r="AB74" s="241"/>
    </row>
    <row r="75" spans="2:28" ht="18.75" customHeight="1">
      <c r="B75" s="398" t="s">
        <v>170</v>
      </c>
      <c r="C75" s="401">
        <f>COUNTIFS('1. All Data'!$AB$3:$AB$111,"Community Regeneration",'1. All Data'!$I$3:$I$111,"In Danger of Falling Behind Target")</f>
        <v>1</v>
      </c>
      <c r="D75" s="404">
        <f>C75/C86</f>
        <v>3.7037037037037035E-2</v>
      </c>
      <c r="E75" s="404">
        <f>D75</f>
        <v>3.7037037037037035E-2</v>
      </c>
      <c r="F75" s="404">
        <f>C75/C87</f>
        <v>4.7619047619047616E-2</v>
      </c>
      <c r="G75" s="407">
        <f>F75</f>
        <v>4.7619047619047616E-2</v>
      </c>
      <c r="I75" s="398" t="s">
        <v>170</v>
      </c>
      <c r="J75" s="401">
        <f>COUNTIFS('1. All Data'!$AB$3:$AB$111,"Community Regeneration",'1. All Data'!$N$3:$N$111,"In Danger of Falling Behind Target")</f>
        <v>1</v>
      </c>
      <c r="K75" s="404">
        <f>J75/J86</f>
        <v>3.7037037037037035E-2</v>
      </c>
      <c r="L75" s="404">
        <f>K75</f>
        <v>3.7037037037037035E-2</v>
      </c>
      <c r="M75" s="404">
        <f>J75/J87</f>
        <v>4.1666666666666664E-2</v>
      </c>
      <c r="N75" s="407">
        <f>M75</f>
        <v>4.1666666666666664E-2</v>
      </c>
      <c r="P75" s="398" t="s">
        <v>170</v>
      </c>
      <c r="Q75" s="401">
        <f>COUNTIFS('1. All Data'!$AB$3:$AB$111,"Community Regeneration",'1. All Data'!$S$3:$S$111,"In Danger of Falling Behind Target")</f>
        <v>0</v>
      </c>
      <c r="R75" s="404" t="e">
        <f>Q75/Q86</f>
        <v>#DIV/0!</v>
      </c>
      <c r="S75" s="404" t="e">
        <f>R75</f>
        <v>#DIV/0!</v>
      </c>
      <c r="T75" s="404" t="e">
        <f>Q75/Q87</f>
        <v>#DIV/0!</v>
      </c>
      <c r="U75" s="407" t="e">
        <f>T75</f>
        <v>#DIV/0!</v>
      </c>
      <c r="W75" s="244" t="s">
        <v>162</v>
      </c>
      <c r="X75" s="245">
        <f>COUNTIFS('1. All Data'!$AB$3:$AB$111,"Community Regeneration",'1. All Data'!$W$3:$W$111,"Numerical Outturn Within 10% Tolerance")</f>
        <v>0</v>
      </c>
      <c r="Y75" s="237" t="e">
        <f>X75/$X$42</f>
        <v>#DIV/0!</v>
      </c>
      <c r="Z75" s="395" t="e">
        <f>SUM(Y75:Y77)</f>
        <v>#DIV/0!</v>
      </c>
      <c r="AA75" s="237" t="e">
        <f>X75/X87</f>
        <v>#DIV/0!</v>
      </c>
      <c r="AB75" s="396" t="e">
        <f>SUM(AA75:AA77)</f>
        <v>#DIV/0!</v>
      </c>
    </row>
    <row r="76" spans="2:28" ht="18.75" customHeight="1">
      <c r="B76" s="399"/>
      <c r="C76" s="402"/>
      <c r="D76" s="405"/>
      <c r="E76" s="405"/>
      <c r="F76" s="405"/>
      <c r="G76" s="408"/>
      <c r="I76" s="399"/>
      <c r="J76" s="402"/>
      <c r="K76" s="405"/>
      <c r="L76" s="405"/>
      <c r="M76" s="405"/>
      <c r="N76" s="408"/>
      <c r="P76" s="399"/>
      <c r="Q76" s="402"/>
      <c r="R76" s="405"/>
      <c r="S76" s="405"/>
      <c r="T76" s="405"/>
      <c r="U76" s="408"/>
      <c r="W76" s="244" t="s">
        <v>163</v>
      </c>
      <c r="X76" s="245">
        <f>COUNTIFS('1. All Data'!$AB$3:$AB$111,"Community Regeneration",'1. All Data'!$W$3:$W$111,"Target Partially Met")</f>
        <v>0</v>
      </c>
      <c r="Y76" s="237" t="e">
        <f>X76/$X$42</f>
        <v>#DIV/0!</v>
      </c>
      <c r="Z76" s="395"/>
      <c r="AA76" s="237" t="e">
        <f>X76/X87</f>
        <v>#DIV/0!</v>
      </c>
      <c r="AB76" s="396"/>
    </row>
    <row r="77" spans="2:28" ht="18.75" customHeight="1">
      <c r="B77" s="400"/>
      <c r="C77" s="403"/>
      <c r="D77" s="406"/>
      <c r="E77" s="406"/>
      <c r="F77" s="406"/>
      <c r="G77" s="409"/>
      <c r="I77" s="400"/>
      <c r="J77" s="403"/>
      <c r="K77" s="406"/>
      <c r="L77" s="406"/>
      <c r="M77" s="406"/>
      <c r="N77" s="409"/>
      <c r="P77" s="400"/>
      <c r="Q77" s="403"/>
      <c r="R77" s="406"/>
      <c r="S77" s="406"/>
      <c r="T77" s="406"/>
      <c r="U77" s="409"/>
      <c r="W77" s="244" t="s">
        <v>166</v>
      </c>
      <c r="X77" s="245">
        <f>COUNTIFS('1. All Data'!$AB$3:$AB$111,"Community Regeneration",'1. All Data'!$W$3:$W$111,"Completion Date Within Reasonable Tolerance")</f>
        <v>0</v>
      </c>
      <c r="Y77" s="237" t="e">
        <f>X77/$X$42</f>
        <v>#DIV/0!</v>
      </c>
      <c r="Z77" s="395"/>
      <c r="AA77" s="237" t="e">
        <f>X77/X87</f>
        <v>#DIV/0!</v>
      </c>
      <c r="AB77" s="396"/>
    </row>
    <row r="78" spans="2:28" ht="6" customHeight="1">
      <c r="B78" s="231"/>
      <c r="C78" s="232"/>
      <c r="D78" s="246"/>
      <c r="E78" s="246"/>
      <c r="F78" s="246"/>
      <c r="G78" s="247"/>
      <c r="I78" s="231"/>
      <c r="J78" s="232"/>
      <c r="K78" s="246"/>
      <c r="L78" s="246"/>
      <c r="M78" s="246"/>
      <c r="N78" s="247"/>
      <c r="P78" s="231"/>
      <c r="Q78" s="232"/>
      <c r="R78" s="246"/>
      <c r="S78" s="246"/>
      <c r="T78" s="246"/>
      <c r="U78" s="247"/>
      <c r="W78" s="231"/>
      <c r="X78" s="232"/>
      <c r="Y78" s="246"/>
      <c r="Z78" s="246"/>
      <c r="AA78" s="246"/>
      <c r="AB78" s="247"/>
    </row>
    <row r="79" spans="2:28" ht="30" customHeight="1">
      <c r="B79" s="248" t="s">
        <v>171</v>
      </c>
      <c r="C79" s="236">
        <f>COUNTIFS('1. All Data'!$AB$3:$AB$111,"Community Regeneration",'1. All Data'!$I$3:$I$111,"Completed Behind Schedule")</f>
        <v>0</v>
      </c>
      <c r="D79" s="237">
        <f>C79/C86</f>
        <v>0</v>
      </c>
      <c r="E79" s="395">
        <f>D79+D80</f>
        <v>0</v>
      </c>
      <c r="F79" s="237">
        <f>C79/C87</f>
        <v>0</v>
      </c>
      <c r="G79" s="397">
        <f>F79+F80</f>
        <v>0</v>
      </c>
      <c r="I79" s="248" t="s">
        <v>171</v>
      </c>
      <c r="J79" s="236">
        <f>COUNTIFS('1. All Data'!$AB$3:$AB$111,"Community Regeneration",'1. All Data'!$N$3:$N$111,"Completed Behind Schedule")</f>
        <v>0</v>
      </c>
      <c r="K79" s="237">
        <f>J79/J86</f>
        <v>0</v>
      </c>
      <c r="L79" s="395">
        <f>K79+K80</f>
        <v>0</v>
      </c>
      <c r="M79" s="237">
        <f>J79/J87</f>
        <v>0</v>
      </c>
      <c r="N79" s="397">
        <f>M79+M80</f>
        <v>0</v>
      </c>
      <c r="P79" s="248" t="s">
        <v>171</v>
      </c>
      <c r="Q79" s="236">
        <f>COUNTIFS('1. All Data'!$AB$3:$AB$111,"Community Regeneration",'1. All Data'!$S$3:$S$111,"Completed Behind Schedule")</f>
        <v>0</v>
      </c>
      <c r="R79" s="237" t="e">
        <f>Q79/Q86</f>
        <v>#DIV/0!</v>
      </c>
      <c r="S79" s="395" t="e">
        <f>R79+R80</f>
        <v>#DIV/0!</v>
      </c>
      <c r="T79" s="237" t="e">
        <f>Q79/Q87</f>
        <v>#DIV/0!</v>
      </c>
      <c r="U79" s="397" t="e">
        <f>T79+T80</f>
        <v>#DIV/0!</v>
      </c>
      <c r="W79" s="248" t="s">
        <v>165</v>
      </c>
      <c r="X79" s="236">
        <f>COUNTIFS('1. All Data'!$AB$3:$AB$111,"Community Regeneration",'1. All Data'!$W$3:$W$111,"Completed Significantly After Target Deadline")</f>
        <v>0</v>
      </c>
      <c r="Y79" s="237" t="e">
        <f>X79/$X$42</f>
        <v>#DIV/0!</v>
      </c>
      <c r="Z79" s="395" t="e">
        <f>SUM(Y79:Y80)</f>
        <v>#DIV/0!</v>
      </c>
      <c r="AA79" s="237" t="e">
        <f>X79/X87</f>
        <v>#DIV/0!</v>
      </c>
      <c r="AB79" s="397" t="e">
        <f>AA79+AA80</f>
        <v>#DIV/0!</v>
      </c>
    </row>
    <row r="80" spans="2:28" ht="30" customHeight="1">
      <c r="B80" s="248" t="s">
        <v>164</v>
      </c>
      <c r="C80" s="236">
        <f>COUNTIFS('1. All Data'!$AB$3:$AB$111,"Community Regeneration",'1. All Data'!$I$3:$I$111,"Off Target")</f>
        <v>0</v>
      </c>
      <c r="D80" s="237">
        <f>C80/C86</f>
        <v>0</v>
      </c>
      <c r="E80" s="395"/>
      <c r="F80" s="237">
        <f>C80/C87</f>
        <v>0</v>
      </c>
      <c r="G80" s="397"/>
      <c r="I80" s="248" t="s">
        <v>164</v>
      </c>
      <c r="J80" s="236">
        <f>COUNTIFS('1. All Data'!$AB$3:$AB$111,"Community Regeneration",'1. All Data'!$N$3:$N$111,"Off Target")</f>
        <v>0</v>
      </c>
      <c r="K80" s="237">
        <f>J80/J86</f>
        <v>0</v>
      </c>
      <c r="L80" s="395"/>
      <c r="M80" s="237">
        <f>J80/J87</f>
        <v>0</v>
      </c>
      <c r="N80" s="397"/>
      <c r="P80" s="248" t="s">
        <v>164</v>
      </c>
      <c r="Q80" s="236">
        <f>COUNTIFS('1. All Data'!$AB$3:$AB$111,"Community Regeneration",'1. All Data'!$S$3:$S$111,"Off Target")</f>
        <v>0</v>
      </c>
      <c r="R80" s="237" t="e">
        <f>Q80/Q86</f>
        <v>#DIV/0!</v>
      </c>
      <c r="S80" s="395"/>
      <c r="T80" s="237" t="e">
        <f>Q80/Q87</f>
        <v>#DIV/0!</v>
      </c>
      <c r="U80" s="397"/>
      <c r="W80" s="248" t="s">
        <v>164</v>
      </c>
      <c r="X80" s="236">
        <f>COUNTIFS('1. All Data'!$AB$3:$AB$111,"Community Regeneration",'1. All Data'!$W$3:$W$111,"Off Target")</f>
        <v>0</v>
      </c>
      <c r="Y80" s="237" t="e">
        <f>X80/$X$42</f>
        <v>#DIV/0!</v>
      </c>
      <c r="Z80" s="395"/>
      <c r="AA80" s="237" t="e">
        <f>X80/X87</f>
        <v>#DIV/0!</v>
      </c>
      <c r="AB80" s="397"/>
    </row>
    <row r="81" spans="2:30" ht="5.25" customHeight="1">
      <c r="B81" s="231"/>
      <c r="C81" s="249"/>
      <c r="D81" s="246"/>
      <c r="E81" s="246"/>
      <c r="F81" s="246"/>
      <c r="G81" s="250"/>
      <c r="I81" s="231"/>
      <c r="J81" s="249"/>
      <c r="K81" s="246"/>
      <c r="L81" s="246"/>
      <c r="M81" s="246"/>
      <c r="N81" s="250"/>
      <c r="P81" s="231"/>
      <c r="Q81" s="249"/>
      <c r="R81" s="246"/>
      <c r="S81" s="246"/>
      <c r="T81" s="246"/>
      <c r="U81" s="250"/>
      <c r="W81" s="231"/>
      <c r="X81" s="249"/>
      <c r="Y81" s="246"/>
      <c r="Z81" s="246"/>
      <c r="AA81" s="246"/>
      <c r="AB81" s="250"/>
    </row>
    <row r="82" spans="2:30" ht="15.75" customHeight="1">
      <c r="B82" s="251" t="s">
        <v>193</v>
      </c>
      <c r="C82" s="236">
        <f>COUNTIFS('1. All Data'!$AB$3:$AB$111,"Community Regeneration",'1. All Data'!$I$3:$I$111,"Not yet due")</f>
        <v>4</v>
      </c>
      <c r="D82" s="252">
        <f>C82/C86</f>
        <v>0.14814814814814814</v>
      </c>
      <c r="E82" s="252">
        <f>D82</f>
        <v>0.14814814814814814</v>
      </c>
      <c r="F82" s="253"/>
      <c r="G82" s="65"/>
      <c r="I82" s="251" t="s">
        <v>193</v>
      </c>
      <c r="J82" s="236">
        <f>COUNTIFS('1. All Data'!$AB$3:$AB$111,"Community Regeneration",'1. All Data'!$N$3:$N$111,"Not yet due")</f>
        <v>1</v>
      </c>
      <c r="K82" s="252">
        <f>J82/J86</f>
        <v>3.7037037037037035E-2</v>
      </c>
      <c r="L82" s="252">
        <f>K82</f>
        <v>3.7037037037037035E-2</v>
      </c>
      <c r="M82" s="253"/>
      <c r="N82" s="65"/>
      <c r="P82" s="251" t="s">
        <v>193</v>
      </c>
      <c r="Q82" s="236">
        <f>COUNTIFS('1. All Data'!$AB$3:$AB$111,"Community Regeneration",'1. All Data'!$S$3:$S$111,"Not yet due")</f>
        <v>0</v>
      </c>
      <c r="R82" s="252" t="e">
        <f>Q82/Q86</f>
        <v>#DIV/0!</v>
      </c>
      <c r="S82" s="252" t="e">
        <f>R82</f>
        <v>#DIV/0!</v>
      </c>
      <c r="T82" s="253"/>
      <c r="U82" s="65"/>
      <c r="W82" s="251" t="s">
        <v>193</v>
      </c>
      <c r="X82" s="236">
        <f>COUNTIFS('1. All Data'!$AB$3:$AB$111,"Community Regeneration",'1. All Data'!$W$3:$W$111,"Not yet due")</f>
        <v>0</v>
      </c>
      <c r="Y82" s="237" t="e">
        <f t="shared" ref="Y82:Y85" si="4">X82/$X$42</f>
        <v>#DIV/0!</v>
      </c>
      <c r="Z82" s="237" t="e">
        <f>Y82</f>
        <v>#DIV/0!</v>
      </c>
      <c r="AA82" s="253"/>
      <c r="AB82" s="65"/>
    </row>
    <row r="83" spans="2:30" ht="15.75" customHeight="1">
      <c r="B83" s="251" t="s">
        <v>159</v>
      </c>
      <c r="C83" s="236">
        <f>COUNTIFS('1. All Data'!$AB$3:$AB$111,"Community Regeneration",'1. All Data'!$I$3:$I$111,"update not provided")</f>
        <v>0</v>
      </c>
      <c r="D83" s="252">
        <f>C83/C86</f>
        <v>0</v>
      </c>
      <c r="E83" s="252">
        <f>D83</f>
        <v>0</v>
      </c>
      <c r="F83" s="253"/>
      <c r="G83" s="8"/>
      <c r="I83" s="251" t="s">
        <v>159</v>
      </c>
      <c r="J83" s="236">
        <f>COUNTIFS('1. All Data'!$AB$3:$AB$111,"Community Regeneration",'1. All Data'!$N$3:$N$111,"update not provided")</f>
        <v>0</v>
      </c>
      <c r="K83" s="252">
        <f>J83/J86</f>
        <v>0</v>
      </c>
      <c r="L83" s="252">
        <f>K83</f>
        <v>0</v>
      </c>
      <c r="M83" s="253"/>
      <c r="N83" s="8"/>
      <c r="P83" s="251" t="s">
        <v>159</v>
      </c>
      <c r="Q83" s="236">
        <f>COUNTIFS('1. All Data'!$AB$3:$AB$111,"Community Regeneration",'1. All Data'!$S$3:$S$111,"update not provided")</f>
        <v>0</v>
      </c>
      <c r="R83" s="252" t="e">
        <f>Q83/Q86</f>
        <v>#DIV/0!</v>
      </c>
      <c r="S83" s="252" t="e">
        <f>R83</f>
        <v>#DIV/0!</v>
      </c>
      <c r="T83" s="253"/>
      <c r="U83" s="8"/>
      <c r="W83" s="251" t="s">
        <v>159</v>
      </c>
      <c r="X83" s="236">
        <f>COUNTIFS('1. All Data'!$AB$3:$AB$111,"Community Regeneration",'1. All Data'!$W$3:$W$111,"update not provided")</f>
        <v>0</v>
      </c>
      <c r="Y83" s="237" t="e">
        <f t="shared" si="4"/>
        <v>#DIV/0!</v>
      </c>
      <c r="Z83" s="237" t="e">
        <f>Y83</f>
        <v>#DIV/0!</v>
      </c>
      <c r="AA83" s="253"/>
      <c r="AB83" s="8"/>
    </row>
    <row r="84" spans="2:30" ht="15.75" customHeight="1">
      <c r="B84" s="254" t="s">
        <v>167</v>
      </c>
      <c r="C84" s="236">
        <f>COUNTIFS('1. All Data'!$AB$3:$AB$111,"Community Regeneration",'1. All Data'!$I$3:$I$111,"Deferred")</f>
        <v>2</v>
      </c>
      <c r="D84" s="255">
        <f>C84/C86</f>
        <v>7.407407407407407E-2</v>
      </c>
      <c r="E84" s="255">
        <f>D84</f>
        <v>7.407407407407407E-2</v>
      </c>
      <c r="F84" s="256"/>
      <c r="G84" s="65"/>
      <c r="I84" s="254" t="s">
        <v>167</v>
      </c>
      <c r="J84" s="236">
        <f>COUNTIFS('1. All Data'!$AB$3:$AB$111,"Community Regeneration",'1. All Data'!$N$3:$N$111,"Deferred")</f>
        <v>2</v>
      </c>
      <c r="K84" s="255">
        <f>J84/J86</f>
        <v>7.407407407407407E-2</v>
      </c>
      <c r="L84" s="255">
        <f>K84</f>
        <v>7.407407407407407E-2</v>
      </c>
      <c r="M84" s="256"/>
      <c r="N84" s="65"/>
      <c r="P84" s="254" t="s">
        <v>167</v>
      </c>
      <c r="Q84" s="236">
        <f>COUNTIFS('1. All Data'!$AB$3:$AB$111,"Community Regeneration",'1. All Data'!$S$3:$S$111,"Deferred")</f>
        <v>0</v>
      </c>
      <c r="R84" s="255" t="e">
        <f>Q84/Q86</f>
        <v>#DIV/0!</v>
      </c>
      <c r="S84" s="255" t="e">
        <f>R84</f>
        <v>#DIV/0!</v>
      </c>
      <c r="T84" s="256"/>
      <c r="U84" s="65"/>
      <c r="W84" s="254" t="s">
        <v>167</v>
      </c>
      <c r="X84" s="236">
        <f>COUNTIFS('1. All Data'!$AB$3:$AB$111,"Community Regeneration",'1. All Data'!$W$3:$W$111,"Deferred")</f>
        <v>0</v>
      </c>
      <c r="Y84" s="237" t="e">
        <f t="shared" si="4"/>
        <v>#DIV/0!</v>
      </c>
      <c r="Z84" s="237" t="e">
        <f t="shared" ref="Z84:Z85" si="5">Y84</f>
        <v>#DIV/0!</v>
      </c>
      <c r="AA84" s="256"/>
      <c r="AB84" s="65"/>
    </row>
    <row r="85" spans="2:30" ht="15.75" customHeight="1">
      <c r="B85" s="254" t="s">
        <v>168</v>
      </c>
      <c r="C85" s="236">
        <f>COUNTIFS('1. All Data'!$AB$3:$AB$111,"Community Regeneration",'1. All Data'!$I$3:$I$111,"Deleted")</f>
        <v>0</v>
      </c>
      <c r="D85" s="255">
        <f>C85/C86</f>
        <v>0</v>
      </c>
      <c r="E85" s="255">
        <f>D85</f>
        <v>0</v>
      </c>
      <c r="F85" s="256"/>
      <c r="G85" s="9" t="s">
        <v>194</v>
      </c>
      <c r="I85" s="254" t="s">
        <v>168</v>
      </c>
      <c r="J85" s="236">
        <f>COUNTIFS('1. All Data'!$AB$3:$AB$111,"Community Regeneration",'1. All Data'!$N$3:$N$111,"Deleted")</f>
        <v>0</v>
      </c>
      <c r="K85" s="255">
        <f>J85/J86</f>
        <v>0</v>
      </c>
      <c r="L85" s="255">
        <f>K85</f>
        <v>0</v>
      </c>
      <c r="M85" s="256"/>
      <c r="N85" s="9"/>
      <c r="P85" s="254" t="s">
        <v>168</v>
      </c>
      <c r="Q85" s="236">
        <f>COUNTIFS('1. All Data'!$AB$3:$AB$111,"Community Regeneration",'1. All Data'!$S$3:$S$111,"Deleted")</f>
        <v>0</v>
      </c>
      <c r="R85" s="255" t="e">
        <f>Q85/Q86</f>
        <v>#DIV/0!</v>
      </c>
      <c r="S85" s="255" t="e">
        <f>R85</f>
        <v>#DIV/0!</v>
      </c>
      <c r="T85" s="256"/>
      <c r="U85" s="9" t="s">
        <v>194</v>
      </c>
      <c r="W85" s="254" t="s">
        <v>168</v>
      </c>
      <c r="X85" s="236">
        <f>COUNTIFS('1. All Data'!$AB$3:$AB$111,"Community Regeneration",'1. All Data'!$W$3:$W$111,"Deleted")</f>
        <v>0</v>
      </c>
      <c r="Y85" s="237" t="e">
        <f t="shared" si="4"/>
        <v>#DIV/0!</v>
      </c>
      <c r="Z85" s="237" t="e">
        <f t="shared" si="5"/>
        <v>#DIV/0!</v>
      </c>
      <c r="AA85" s="256"/>
      <c r="AD85" s="9" t="s">
        <v>194</v>
      </c>
    </row>
    <row r="86" spans="2:30" ht="15.75" customHeight="1">
      <c r="B86" s="273" t="s">
        <v>195</v>
      </c>
      <c r="C86" s="258">
        <f>SUM(C72:C85)</f>
        <v>27</v>
      </c>
      <c r="D86" s="256"/>
      <c r="E86" s="256"/>
      <c r="F86" s="65"/>
      <c r="G86" s="65"/>
      <c r="I86" s="273" t="s">
        <v>195</v>
      </c>
      <c r="J86" s="258">
        <f>SUM(J72:J85)</f>
        <v>27</v>
      </c>
      <c r="K86" s="256"/>
      <c r="L86" s="256"/>
      <c r="M86" s="65"/>
      <c r="N86" s="65"/>
      <c r="P86" s="273" t="s">
        <v>195</v>
      </c>
      <c r="Q86" s="258">
        <f>SUM(Q72:Q85)</f>
        <v>0</v>
      </c>
      <c r="R86" s="256"/>
      <c r="S86" s="256"/>
      <c r="T86" s="65"/>
      <c r="U86" s="65"/>
      <c r="W86" s="257" t="s">
        <v>195</v>
      </c>
      <c r="X86" s="258">
        <f>SUM(X72:X85)</f>
        <v>0</v>
      </c>
      <c r="Y86" s="256"/>
      <c r="Z86" s="256"/>
      <c r="AA86" s="65"/>
      <c r="AB86" s="65"/>
    </row>
    <row r="87" spans="2:30" ht="15.75" customHeight="1">
      <c r="B87" s="273" t="s">
        <v>196</v>
      </c>
      <c r="C87" s="258">
        <f>C86-C85-C84-C83-C82</f>
        <v>21</v>
      </c>
      <c r="D87" s="65"/>
      <c r="E87" s="65"/>
      <c r="F87" s="65"/>
      <c r="G87" s="65"/>
      <c r="I87" s="273" t="s">
        <v>196</v>
      </c>
      <c r="J87" s="258">
        <f>J86-J85-J84-J83-J82</f>
        <v>24</v>
      </c>
      <c r="K87" s="65"/>
      <c r="L87" s="65"/>
      <c r="M87" s="65"/>
      <c r="N87" s="65"/>
      <c r="P87" s="273" t="s">
        <v>196</v>
      </c>
      <c r="Q87" s="258">
        <f>Q86-Q85-Q84-Q83-Q82</f>
        <v>0</v>
      </c>
      <c r="R87" s="65"/>
      <c r="S87" s="65"/>
      <c r="T87" s="65"/>
      <c r="U87" s="65"/>
      <c r="W87" s="257" t="s">
        <v>196</v>
      </c>
      <c r="X87" s="258">
        <f>X86-X85-X84-X83-X82</f>
        <v>0</v>
      </c>
      <c r="Y87" s="65"/>
      <c r="Z87" s="65"/>
      <c r="AA87" s="65"/>
      <c r="AB87" s="65"/>
    </row>
    <row r="88" spans="2:30" ht="15.75" customHeight="1">
      <c r="AB88" s="266"/>
    </row>
    <row r="89" spans="2:30" ht="15.75" customHeight="1">
      <c r="AB89" s="266"/>
    </row>
  </sheetData>
  <mergeCells count="14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1:B33"/>
    <mergeCell ref="C31:C33"/>
    <mergeCell ref="D31:D33"/>
    <mergeCell ref="E31:E33"/>
    <mergeCell ref="F31:F33"/>
    <mergeCell ref="G31:G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M53:M55"/>
    <mergeCell ref="N53:N55"/>
    <mergeCell ref="P53:P55"/>
    <mergeCell ref="Q53:Q55"/>
    <mergeCell ref="B75:B77"/>
    <mergeCell ref="C75:C77"/>
    <mergeCell ref="D75:D77"/>
    <mergeCell ref="E75:E77"/>
    <mergeCell ref="F75:F77"/>
    <mergeCell ref="G75:G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s>
  <hyperlinks>
    <hyperlink ref="G41" location="INDEX!A1" display="Back to index"/>
    <hyperlink ref="G63" location="INDEX!A1" display="Back to index"/>
    <hyperlink ref="G85" location="INDEX!A1" display="Back to index"/>
    <hyperlink ref="AE19"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E3" sqref="E3"/>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411" t="s">
        <v>201</v>
      </c>
      <c r="N1" s="412"/>
      <c r="O1" s="412"/>
      <c r="P1" s="412"/>
      <c r="Q1" s="412"/>
      <c r="R1" s="412"/>
      <c r="S1" s="412"/>
      <c r="T1" s="412"/>
      <c r="U1" s="412"/>
      <c r="V1" s="412"/>
      <c r="W1" s="412"/>
      <c r="X1" s="412"/>
      <c r="Y1" s="412"/>
      <c r="Z1" s="413"/>
      <c r="AZ1" s="13"/>
      <c r="BA1" s="13"/>
      <c r="BB1" s="13"/>
      <c r="BC1" s="13"/>
    </row>
    <row r="2" spans="2:56" s="12" customFormat="1" ht="35.25">
      <c r="B2" s="14" t="s">
        <v>194</v>
      </c>
      <c r="M2" s="414"/>
      <c r="N2" s="415"/>
      <c r="O2" s="415"/>
      <c r="P2" s="415"/>
      <c r="Q2" s="415"/>
      <c r="R2" s="415"/>
      <c r="S2" s="415"/>
      <c r="T2" s="415"/>
      <c r="U2" s="415"/>
      <c r="V2" s="415"/>
      <c r="W2" s="415"/>
      <c r="X2" s="415"/>
      <c r="Y2" s="415"/>
      <c r="Z2" s="416"/>
      <c r="AZ2" s="13"/>
      <c r="BA2" s="13"/>
      <c r="BB2" s="13"/>
      <c r="BC2" s="13"/>
    </row>
    <row r="3" spans="2:56" s="12" customFormat="1" ht="36" thickBot="1">
      <c r="M3" s="417"/>
      <c r="N3" s="418"/>
      <c r="O3" s="418"/>
      <c r="P3" s="418"/>
      <c r="Q3" s="418"/>
      <c r="R3" s="418"/>
      <c r="S3" s="418"/>
      <c r="T3" s="418"/>
      <c r="U3" s="418"/>
      <c r="V3" s="418"/>
      <c r="W3" s="418"/>
      <c r="X3" s="418"/>
      <c r="Y3" s="418"/>
      <c r="Z3" s="419"/>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f>'2a. % By Priority'!N6</f>
        <v>0.91764705882352937</v>
      </c>
      <c r="BB7" s="28" t="e">
        <f>'2a. % By Priority'!U6</f>
        <v>#DIV/0!</v>
      </c>
      <c r="BC7" s="28" t="e">
        <f>'2a. % By Priority'!AB6</f>
        <v>#DIV/0!</v>
      </c>
      <c r="BD7" s="16"/>
    </row>
    <row r="8" spans="2:56">
      <c r="L8" s="20"/>
      <c r="M8" s="20"/>
      <c r="AY8" s="27" t="s">
        <v>204</v>
      </c>
      <c r="AZ8" s="28">
        <f>'2a. % By Priority'!G9</f>
        <v>5.3333333333333337E-2</v>
      </c>
      <c r="BA8" s="28">
        <f>'2a. % By Priority'!N9</f>
        <v>4.7058823529411764E-2</v>
      </c>
      <c r="BB8" s="28" t="e">
        <f>'2a. % By Priority'!U9</f>
        <v>#DIV/0!</v>
      </c>
      <c r="BC8" s="28" t="e">
        <f>'2a. % By Priority'!AB9</f>
        <v>#DIV/0!</v>
      </c>
      <c r="BD8" s="16"/>
    </row>
    <row r="9" spans="2:56">
      <c r="L9" s="20"/>
      <c r="M9" s="20"/>
      <c r="AY9" s="27" t="s">
        <v>205</v>
      </c>
      <c r="AZ9" s="28">
        <f>'2a. % By Priority'!G13</f>
        <v>0.04</v>
      </c>
      <c r="BA9" s="28">
        <f>'2a. % By Priority'!N13</f>
        <v>3.5294117647058823E-2</v>
      </c>
      <c r="BB9" s="28" t="e">
        <f>'2a. % By Priority'!U13</f>
        <v>#DIV/0!</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f>'2a. % By Priority'!N28</f>
        <v>0.87804878048780488</v>
      </c>
      <c r="BB23" s="28" t="e">
        <f>'2a. % By Priority'!U28</f>
        <v>#DIV/0!</v>
      </c>
      <c r="BC23" s="28" t="e">
        <f>'2a. % By Priority'!AB28</f>
        <v>#DIV/0!</v>
      </c>
      <c r="BD23" s="16"/>
    </row>
    <row r="24" spans="12:56">
      <c r="L24" s="20"/>
      <c r="M24" s="20"/>
      <c r="AY24" s="27" t="s">
        <v>204</v>
      </c>
      <c r="AZ24" s="28">
        <f>'2a. % By Priority'!G31</f>
        <v>5.4054054054054057E-2</v>
      </c>
      <c r="BA24" s="28">
        <f>'2a. % By Priority'!N31</f>
        <v>4.878048780487805E-2</v>
      </c>
      <c r="BB24" s="28" t="e">
        <f>'2a. % By Priority'!U31</f>
        <v>#DIV/0!</v>
      </c>
      <c r="BC24" s="28" t="e">
        <f>'2a. % By Priority'!AB31</f>
        <v>#DIV/0!</v>
      </c>
      <c r="BD24" s="16"/>
    </row>
    <row r="25" spans="12:56">
      <c r="L25" s="20"/>
      <c r="M25" s="20"/>
      <c r="AY25" s="27" t="s">
        <v>205</v>
      </c>
      <c r="AZ25" s="28">
        <f>'2a. % By Priority'!G35</f>
        <v>8.1081081081081086E-2</v>
      </c>
      <c r="BA25" s="28">
        <f>'2a. % By Priority'!N35</f>
        <v>7.3170731707317083E-2</v>
      </c>
      <c r="BB25" s="28" t="e">
        <f>'2a. % By Priority'!U35</f>
        <v>#DIV/0!</v>
      </c>
      <c r="BC25" s="28" t="e">
        <f>'2a. % By Priority'!AB35</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f>'2a. % By Priority'!N50</f>
        <v>0.95000000000000007</v>
      </c>
      <c r="BB39" s="28" t="e">
        <f>'2a. % By Priority'!U50</f>
        <v>#DIV/0!</v>
      </c>
      <c r="BC39" s="28" t="e">
        <f>'2a. % By Priority'!AB50</f>
        <v>#DIV/0!</v>
      </c>
      <c r="BD39" s="22"/>
    </row>
    <row r="40" spans="11:56">
      <c r="K40" s="20"/>
      <c r="L40" s="20"/>
      <c r="AY40" s="27" t="s">
        <v>204</v>
      </c>
      <c r="AZ40" s="28">
        <f>'2a. % By Priority'!G53</f>
        <v>5.8823529411764705E-2</v>
      </c>
      <c r="BA40" s="28">
        <f>'2a. % By Priority'!N53</f>
        <v>0.05</v>
      </c>
      <c r="BB40" s="28" t="e">
        <f>'2a. % By Priority'!U53</f>
        <v>#DIV/0!</v>
      </c>
      <c r="BC40" s="28" t="e">
        <f>'2a. % By Priority'!AB53</f>
        <v>#DIV/0!</v>
      </c>
      <c r="BD40" s="22"/>
    </row>
    <row r="41" spans="11:56">
      <c r="K41" s="20"/>
      <c r="L41" s="20"/>
      <c r="AY41" s="27" t="s">
        <v>205</v>
      </c>
      <c r="AZ41" s="28">
        <f>'2a. % By Priority'!G57</f>
        <v>0</v>
      </c>
      <c r="BA41" s="28">
        <f>'2a. % By Priority'!N57</f>
        <v>0</v>
      </c>
      <c r="BB41" s="28" t="e">
        <f>'2a. % By Priority'!U57</f>
        <v>#DIV/0!</v>
      </c>
      <c r="BC41" s="28" t="e">
        <f>'2a. % By Priority'!AB57</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f>'2a. % By Priority'!N72</f>
        <v>0.95833333333333337</v>
      </c>
      <c r="BB55" s="28" t="e">
        <f>'2a. % By Priority'!U72</f>
        <v>#DIV/0!</v>
      </c>
      <c r="BC55" s="28" t="e">
        <f>'2a. % By Priority'!AB72</f>
        <v>#DIV/0!</v>
      </c>
      <c r="BD55" s="16"/>
    </row>
    <row r="56" spans="12:56">
      <c r="L56" s="20"/>
      <c r="M56" s="20"/>
      <c r="AY56" s="27" t="s">
        <v>204</v>
      </c>
      <c r="AZ56" s="28">
        <f>'2a. % By Priority'!G75</f>
        <v>4.7619047619047616E-2</v>
      </c>
      <c r="BA56" s="28">
        <f>'2a. % By Priority'!N75</f>
        <v>4.1666666666666664E-2</v>
      </c>
      <c r="BB56" s="28" t="e">
        <f>'2a. % By Priority'!U75</f>
        <v>#DIV/0!</v>
      </c>
      <c r="BC56" s="28" t="e">
        <f>'2a. % By Priority'!AB75</f>
        <v>#DIV/0!</v>
      </c>
      <c r="BD56" s="16"/>
    </row>
    <row r="57" spans="12:56">
      <c r="L57" s="20"/>
      <c r="M57" s="20"/>
      <c r="AY57" s="27" t="s">
        <v>205</v>
      </c>
      <c r="AZ57" s="28">
        <f>'2a. % By Priority'!G79</f>
        <v>0</v>
      </c>
      <c r="BA57" s="28">
        <f>'2a. % By Priority'!N79</f>
        <v>0</v>
      </c>
      <c r="BB57" s="28" t="e">
        <f>'2a. % By Priority'!U79</f>
        <v>#DIV/0!</v>
      </c>
      <c r="BC57" s="28" t="e">
        <f>'2a. % By Priority'!AB79</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A59" zoomScale="80" zoomScaleNormal="80" workbookViewId="0">
      <selection activeCell="J80" sqref="J80"/>
    </sheetView>
  </sheetViews>
  <sheetFormatPr defaultColWidth="9.140625" defaultRowHeight="14.25"/>
  <cols>
    <col min="1" max="1" width="3.42578125" style="223" customWidth="1"/>
    <col min="2" max="2" width="38.85546875" style="223" customWidth="1"/>
    <col min="3" max="3" width="13.7109375" style="220" customWidth="1"/>
    <col min="4" max="4" width="13.85546875" style="220" customWidth="1"/>
    <col min="5" max="5" width="16.28515625" style="220" customWidth="1"/>
    <col min="6" max="6" width="14.140625" style="223" customWidth="1"/>
    <col min="7" max="7" width="17.140625" style="220" customWidth="1"/>
    <col min="8" max="8" width="4.7109375" style="223" customWidth="1"/>
    <col min="9" max="9" width="38.85546875" style="223" customWidth="1"/>
    <col min="10" max="10" width="13.7109375" style="220" customWidth="1"/>
    <col min="11" max="11" width="13.85546875" style="220" customWidth="1"/>
    <col min="12" max="12" width="16.28515625" style="220" customWidth="1"/>
    <col min="13" max="13" width="14.140625" style="223" customWidth="1"/>
    <col min="14" max="14" width="17.140625" style="220" customWidth="1"/>
    <col min="15" max="15" width="4.7109375" style="223" customWidth="1"/>
    <col min="16" max="16" width="38.85546875" style="223" hidden="1" customWidth="1"/>
    <col min="17" max="17" width="13.7109375" style="220" hidden="1" customWidth="1"/>
    <col min="18" max="18" width="13.85546875" style="220" hidden="1" customWidth="1"/>
    <col min="19" max="19" width="16.28515625" style="220" hidden="1" customWidth="1"/>
    <col min="20" max="20" width="14.140625" style="223" hidden="1" customWidth="1"/>
    <col min="21" max="21" width="17.140625" style="220" hidden="1" customWidth="1"/>
    <col min="22" max="22" width="4.7109375" style="223" hidden="1" customWidth="1"/>
    <col min="23" max="23" width="55.28515625" style="220" hidden="1" customWidth="1"/>
    <col min="24" max="24" width="14.5703125" style="220" hidden="1" customWidth="1"/>
    <col min="25" max="27" width="17.140625" style="220" hidden="1" customWidth="1"/>
    <col min="28" max="28" width="17.140625" style="260" hidden="1" customWidth="1"/>
    <col min="29" max="29" width="9.140625" style="223" hidden="1" customWidth="1"/>
    <col min="30" max="16384" width="9.140625" style="223"/>
  </cols>
  <sheetData>
    <row r="1" spans="2:28" s="217" customFormat="1" ht="20.25">
      <c r="B1" s="276" t="s">
        <v>537</v>
      </c>
      <c r="C1" s="277"/>
      <c r="D1" s="278"/>
      <c r="E1" s="278"/>
      <c r="F1" s="279"/>
      <c r="G1" s="278"/>
      <c r="I1" s="276" t="s">
        <v>538</v>
      </c>
      <c r="J1" s="277"/>
      <c r="K1" s="278"/>
      <c r="L1" s="278"/>
      <c r="M1" s="279"/>
      <c r="N1" s="278"/>
      <c r="P1" s="276" t="s">
        <v>539</v>
      </c>
      <c r="Q1" s="277"/>
      <c r="R1" s="278"/>
      <c r="S1" s="278"/>
      <c r="T1" s="279"/>
      <c r="U1" s="278"/>
      <c r="W1" s="280" t="s">
        <v>540</v>
      </c>
      <c r="X1" s="281"/>
      <c r="Y1" s="281"/>
      <c r="Z1" s="281"/>
      <c r="AA1" s="281"/>
      <c r="AB1" s="282"/>
    </row>
    <row r="2" spans="2:28" ht="15.75">
      <c r="B2" s="218"/>
      <c r="C2" s="219"/>
      <c r="D2" s="219"/>
      <c r="E2" s="219"/>
      <c r="F2" s="218"/>
      <c r="G2" s="219"/>
      <c r="I2" s="218"/>
      <c r="J2" s="219"/>
      <c r="K2" s="219"/>
      <c r="L2" s="219"/>
      <c r="M2" s="218"/>
      <c r="N2" s="219"/>
      <c r="P2" s="218"/>
      <c r="Q2" s="219"/>
      <c r="R2" s="219"/>
      <c r="S2" s="219"/>
      <c r="T2" s="218"/>
      <c r="U2" s="219"/>
      <c r="W2" s="221"/>
      <c r="X2" s="221"/>
      <c r="Y2" s="221"/>
      <c r="Z2" s="221"/>
      <c r="AA2" s="221"/>
      <c r="AB2" s="222"/>
    </row>
    <row r="3" spans="2:28" s="234" customFormat="1" ht="15.75">
      <c r="B3" s="283" t="s">
        <v>216</v>
      </c>
      <c r="C3" s="284"/>
      <c r="D3" s="284"/>
      <c r="E3" s="284"/>
      <c r="F3" s="285"/>
      <c r="G3" s="284"/>
      <c r="I3" s="283" t="s">
        <v>216</v>
      </c>
      <c r="J3" s="284"/>
      <c r="K3" s="284"/>
      <c r="L3" s="284"/>
      <c r="M3" s="285"/>
      <c r="N3" s="284"/>
      <c r="P3" s="283" t="s">
        <v>216</v>
      </c>
      <c r="Q3" s="284"/>
      <c r="R3" s="284"/>
      <c r="S3" s="284"/>
      <c r="T3" s="285"/>
      <c r="U3" s="284"/>
      <c r="W3" s="283" t="s">
        <v>216</v>
      </c>
      <c r="X3" s="284"/>
      <c r="Y3" s="284"/>
      <c r="Z3" s="284"/>
      <c r="AA3" s="285"/>
      <c r="AB3" s="284"/>
    </row>
    <row r="4" spans="2:28" ht="42" customHeight="1">
      <c r="B4" s="286" t="s">
        <v>186</v>
      </c>
      <c r="C4" s="287" t="s">
        <v>187</v>
      </c>
      <c r="D4" s="287" t="s">
        <v>188</v>
      </c>
      <c r="E4" s="287" t="s">
        <v>189</v>
      </c>
      <c r="F4" s="286" t="s">
        <v>190</v>
      </c>
      <c r="G4" s="287" t="s">
        <v>191</v>
      </c>
      <c r="I4" s="286" t="s">
        <v>186</v>
      </c>
      <c r="J4" s="287" t="s">
        <v>187</v>
      </c>
      <c r="K4" s="287" t="s">
        <v>188</v>
      </c>
      <c r="L4" s="287" t="s">
        <v>189</v>
      </c>
      <c r="M4" s="286" t="s">
        <v>190</v>
      </c>
      <c r="N4" s="287" t="s">
        <v>191</v>
      </c>
      <c r="P4" s="286" t="s">
        <v>186</v>
      </c>
      <c r="Q4" s="287" t="s">
        <v>187</v>
      </c>
      <c r="R4" s="287" t="s">
        <v>188</v>
      </c>
      <c r="S4" s="287" t="s">
        <v>189</v>
      </c>
      <c r="T4" s="286" t="s">
        <v>190</v>
      </c>
      <c r="U4" s="287" t="s">
        <v>191</v>
      </c>
      <c r="W4" s="230" t="s">
        <v>186</v>
      </c>
      <c r="X4" s="230" t="s">
        <v>187</v>
      </c>
      <c r="Y4" s="230" t="s">
        <v>188</v>
      </c>
      <c r="Z4" s="230" t="s">
        <v>189</v>
      </c>
      <c r="AA4" s="230" t="s">
        <v>190</v>
      </c>
      <c r="AB4" s="230" t="s">
        <v>191</v>
      </c>
    </row>
    <row r="5" spans="2:28" s="234" customFormat="1" ht="6" customHeight="1">
      <c r="B5" s="231"/>
      <c r="C5" s="232"/>
      <c r="D5" s="232"/>
      <c r="E5" s="232"/>
      <c r="F5" s="231"/>
      <c r="G5" s="232"/>
      <c r="I5" s="231"/>
      <c r="J5" s="232"/>
      <c r="K5" s="232"/>
      <c r="L5" s="232"/>
      <c r="M5" s="231"/>
      <c r="N5" s="232"/>
      <c r="P5" s="231"/>
      <c r="Q5" s="232"/>
      <c r="R5" s="232"/>
      <c r="S5" s="232"/>
      <c r="T5" s="231"/>
      <c r="U5" s="232"/>
      <c r="W5" s="231"/>
      <c r="X5" s="232"/>
      <c r="Y5" s="232"/>
      <c r="Z5" s="232"/>
      <c r="AA5" s="232"/>
      <c r="AB5" s="232"/>
    </row>
    <row r="6" spans="2:28" ht="21.75" customHeight="1">
      <c r="B6" s="288" t="s">
        <v>192</v>
      </c>
      <c r="C6" s="289">
        <f>COUNTIFS('1. All Data'!$AC$3:$AC$129,"LEADER",'1. All Data'!$I$3:$I$129,"Fully Achieved")</f>
        <v>1</v>
      </c>
      <c r="D6" s="290">
        <f>C6/C20</f>
        <v>4.3478260869565216E-2</v>
      </c>
      <c r="E6" s="432">
        <f>D6+D7</f>
        <v>0.47826086956521741</v>
      </c>
      <c r="F6" s="291">
        <f>C6/C21</f>
        <v>7.6923076923076927E-2</v>
      </c>
      <c r="G6" s="437">
        <f>F6+F7</f>
        <v>0.84615384615384626</v>
      </c>
      <c r="I6" s="288" t="s">
        <v>192</v>
      </c>
      <c r="J6" s="289">
        <f>COUNTIFS('1. All Data'!$AC$3:$AC$129,"LEADER",'1. All Data'!$N$3:$N$129,"Fully Achieved")</f>
        <v>3</v>
      </c>
      <c r="K6" s="290">
        <f>J6/J20</f>
        <v>0.13043478260869565</v>
      </c>
      <c r="L6" s="432">
        <f>K6+K7</f>
        <v>0.56521739130434778</v>
      </c>
      <c r="M6" s="291">
        <f>J6/J21</f>
        <v>0.2</v>
      </c>
      <c r="N6" s="437">
        <f>M6+M7</f>
        <v>0.8666666666666667</v>
      </c>
      <c r="P6" s="288" t="s">
        <v>192</v>
      </c>
      <c r="Q6" s="289">
        <f>COUNTIFS('1. All Data'!$AC$3:$AC$129,"LEADER",'1. All Data'!$S$3:$S$129,"Fully Achieved")</f>
        <v>0</v>
      </c>
      <c r="R6" s="290" t="e">
        <f>Q6/Q20</f>
        <v>#DIV/0!</v>
      </c>
      <c r="S6" s="432" t="e">
        <f>R6+R7</f>
        <v>#DIV/0!</v>
      </c>
      <c r="T6" s="291" t="e">
        <f>Q6/Q21</f>
        <v>#DIV/0!</v>
      </c>
      <c r="U6" s="437" t="e">
        <f>T6+T7</f>
        <v>#DIV/0!</v>
      </c>
      <c r="W6" s="235" t="s">
        <v>192</v>
      </c>
      <c r="X6" s="289">
        <f>COUNTIFS('1. All Data'!$AC$3:$AC$129,"LEADER",'1. All Data'!$W$3:$W$129,"Fully Achieved")</f>
        <v>0</v>
      </c>
      <c r="Y6" s="290" t="e">
        <f>X6/X20</f>
        <v>#DIV/0!</v>
      </c>
      <c r="Z6" s="432" t="e">
        <f>Y6+Y7</f>
        <v>#DIV/0!</v>
      </c>
      <c r="AA6" s="290" t="e">
        <f>X6/X21</f>
        <v>#DIV/0!</v>
      </c>
      <c r="AB6" s="410" t="e">
        <f>AA6+AA7</f>
        <v>#DIV/0!</v>
      </c>
    </row>
    <row r="7" spans="2:28" ht="18.75" customHeight="1">
      <c r="B7" s="288" t="s">
        <v>169</v>
      </c>
      <c r="C7" s="289">
        <f>COUNTIFS('1. All Data'!$AC$3:$AC$129,"LEADER",'1. All Data'!$I$3:$I$129,"On Track to be Achieved")</f>
        <v>10</v>
      </c>
      <c r="D7" s="290">
        <f>C7/C20</f>
        <v>0.43478260869565216</v>
      </c>
      <c r="E7" s="432"/>
      <c r="F7" s="291">
        <f>C7/C21</f>
        <v>0.76923076923076927</v>
      </c>
      <c r="G7" s="437"/>
      <c r="I7" s="288" t="s">
        <v>169</v>
      </c>
      <c r="J7" s="289">
        <f>COUNTIFS('1. All Data'!$AC$3:$AC$129,"LEADER",'1. All Data'!$N$3:$N$129,"On Track to be Achieved")</f>
        <v>10</v>
      </c>
      <c r="K7" s="290">
        <f>J7/J20</f>
        <v>0.43478260869565216</v>
      </c>
      <c r="L7" s="432"/>
      <c r="M7" s="291">
        <f>J7/J21</f>
        <v>0.66666666666666663</v>
      </c>
      <c r="N7" s="437"/>
      <c r="P7" s="288" t="s">
        <v>169</v>
      </c>
      <c r="Q7" s="289">
        <f>COUNTIFS('1. All Data'!$AC$3:$AC$129,"LEADER",'1. All Data'!$S$3:$S$129,"On Track to be Achieved")</f>
        <v>0</v>
      </c>
      <c r="R7" s="290" t="e">
        <f>Q7/Q20</f>
        <v>#DIV/0!</v>
      </c>
      <c r="S7" s="432"/>
      <c r="T7" s="291" t="e">
        <f>Q7/Q21</f>
        <v>#DIV/0!</v>
      </c>
      <c r="U7" s="437"/>
      <c r="W7" s="235" t="s">
        <v>161</v>
      </c>
      <c r="X7" s="289">
        <f>COUNTIFS('1. All Data'!$AC$3:$AC$129,"LEADER",'1. All Data'!$W$3:$W$129,"Numerical Outturn Within 5% Tolerance")</f>
        <v>0</v>
      </c>
      <c r="Y7" s="290" t="e">
        <f>X7/X20</f>
        <v>#DIV/0!</v>
      </c>
      <c r="Z7" s="432"/>
      <c r="AA7" s="290" t="e">
        <f>X7/X21</f>
        <v>#DIV/0!</v>
      </c>
      <c r="AB7" s="410"/>
    </row>
    <row r="8" spans="2:28" s="234" customFormat="1" ht="6" customHeight="1">
      <c r="B8" s="231"/>
      <c r="C8" s="249"/>
      <c r="D8" s="246"/>
      <c r="E8" s="246"/>
      <c r="F8" s="292"/>
      <c r="G8" s="247"/>
      <c r="I8" s="231"/>
      <c r="J8" s="249"/>
      <c r="K8" s="246"/>
      <c r="L8" s="246"/>
      <c r="M8" s="292"/>
      <c r="N8" s="247"/>
      <c r="P8" s="231"/>
      <c r="Q8" s="249"/>
      <c r="R8" s="246"/>
      <c r="S8" s="246"/>
      <c r="T8" s="292"/>
      <c r="U8" s="247"/>
      <c r="W8" s="238"/>
      <c r="X8" s="239"/>
      <c r="Y8" s="240"/>
      <c r="Z8" s="240"/>
      <c r="AA8" s="240"/>
      <c r="AB8" s="241"/>
    </row>
    <row r="9" spans="2:28" ht="21" customHeight="1">
      <c r="B9" s="426" t="s">
        <v>170</v>
      </c>
      <c r="C9" s="429">
        <f>COUNTIFS('1. All Data'!$AC$3:$AC$129,"LEADER",'1. All Data'!$I$3:$I$129,"In Danger of Falling Behind Target")</f>
        <v>0</v>
      </c>
      <c r="D9" s="434">
        <f>C9/C20</f>
        <v>0</v>
      </c>
      <c r="E9" s="434">
        <f>D9</f>
        <v>0</v>
      </c>
      <c r="F9" s="420">
        <f>C9/C21</f>
        <v>0</v>
      </c>
      <c r="G9" s="423">
        <f>F9</f>
        <v>0</v>
      </c>
      <c r="I9" s="426" t="s">
        <v>170</v>
      </c>
      <c r="J9" s="429">
        <f>COUNTIFS('1. All Data'!$AC$3:$AC$129,"LEADER",'1. All Data'!$N$3:$N$129,"In Danger of Falling Behind Target")</f>
        <v>0</v>
      </c>
      <c r="K9" s="434">
        <f>J9/J20</f>
        <v>0</v>
      </c>
      <c r="L9" s="434">
        <f>K9</f>
        <v>0</v>
      </c>
      <c r="M9" s="420">
        <f>J9/J21</f>
        <v>0</v>
      </c>
      <c r="N9" s="423">
        <f>M9</f>
        <v>0</v>
      </c>
      <c r="P9" s="426" t="s">
        <v>170</v>
      </c>
      <c r="Q9" s="429">
        <f>COUNTIFS('1. All Data'!$AC$3:$AC$129,"LEADER",'1. All Data'!$S$3:$S$129,"In Danger of Falling Behind Target")</f>
        <v>0</v>
      </c>
      <c r="R9" s="434" t="e">
        <f>Q9/Q20</f>
        <v>#DIV/0!</v>
      </c>
      <c r="S9" s="434" t="e">
        <f>R9</f>
        <v>#DIV/0!</v>
      </c>
      <c r="T9" s="420" t="e">
        <f>Q9/Q21</f>
        <v>#DIV/0!</v>
      </c>
      <c r="U9" s="423" t="e">
        <f>T9</f>
        <v>#DIV/0!</v>
      </c>
      <c r="W9" s="244" t="s">
        <v>162</v>
      </c>
      <c r="X9" s="245">
        <f>COUNTIFS('1. All Data'!$AC$3:$AC$129,"LEADER",'1. All Data'!$W$3:$W$129,"Numerical Outturn Within 10% Tolerance")</f>
        <v>0</v>
      </c>
      <c r="Y9" s="237" t="e">
        <f>X9/$X$20</f>
        <v>#DIV/0!</v>
      </c>
      <c r="Z9" s="395" t="e">
        <f>SUM(Y9:Y11)</f>
        <v>#DIV/0!</v>
      </c>
      <c r="AA9" s="237" t="e">
        <f>X9/$X$21</f>
        <v>#DIV/0!</v>
      </c>
      <c r="AB9" s="396" t="e">
        <f>SUM(AA9:AA11)</f>
        <v>#DIV/0!</v>
      </c>
    </row>
    <row r="10" spans="2:28" ht="20.25" customHeight="1">
      <c r="B10" s="427"/>
      <c r="C10" s="430"/>
      <c r="D10" s="435"/>
      <c r="E10" s="435"/>
      <c r="F10" s="421"/>
      <c r="G10" s="424"/>
      <c r="I10" s="427"/>
      <c r="J10" s="430"/>
      <c r="K10" s="435"/>
      <c r="L10" s="435"/>
      <c r="M10" s="421"/>
      <c r="N10" s="424"/>
      <c r="P10" s="427"/>
      <c r="Q10" s="430"/>
      <c r="R10" s="435"/>
      <c r="S10" s="435"/>
      <c r="T10" s="421"/>
      <c r="U10" s="424"/>
      <c r="W10" s="244" t="s">
        <v>163</v>
      </c>
      <c r="X10" s="245">
        <f>COUNTIFS('1. All Data'!$AC$3:$AC$129,"LEADER",'1. All Data'!$W$3:$W$129,"Target Partially Met")</f>
        <v>0</v>
      </c>
      <c r="Y10" s="237" t="e">
        <f>X10/$X$20</f>
        <v>#DIV/0!</v>
      </c>
      <c r="Z10" s="395"/>
      <c r="AA10" s="237" t="e">
        <f>X10/$X$21</f>
        <v>#DIV/0!</v>
      </c>
      <c r="AB10" s="396"/>
    </row>
    <row r="11" spans="2:28" ht="18.75" customHeight="1">
      <c r="B11" s="428"/>
      <c r="C11" s="431"/>
      <c r="D11" s="436"/>
      <c r="E11" s="436"/>
      <c r="F11" s="422"/>
      <c r="G11" s="425"/>
      <c r="I11" s="428"/>
      <c r="J11" s="431"/>
      <c r="K11" s="436"/>
      <c r="L11" s="436"/>
      <c r="M11" s="422"/>
      <c r="N11" s="425"/>
      <c r="P11" s="428"/>
      <c r="Q11" s="431"/>
      <c r="R11" s="436"/>
      <c r="S11" s="436"/>
      <c r="T11" s="422"/>
      <c r="U11" s="425"/>
      <c r="W11" s="244" t="s">
        <v>166</v>
      </c>
      <c r="X11" s="245">
        <f>COUNTIFS('1. All Data'!$AC$3:$AC$129,"LEADER",'1. All Data'!$W$3:$W$129,"Completion Date Within Reasonable Tolerance")</f>
        <v>0</v>
      </c>
      <c r="Y11" s="237" t="e">
        <f>X11/$X$20</f>
        <v>#DIV/0!</v>
      </c>
      <c r="Z11" s="395"/>
      <c r="AA11" s="237" t="e">
        <f>X11/$X$21</f>
        <v>#DIV/0!</v>
      </c>
      <c r="AB11" s="396"/>
    </row>
    <row r="12" spans="2:28" s="234" customFormat="1" ht="6" customHeight="1">
      <c r="B12" s="231"/>
      <c r="C12" s="232"/>
      <c r="D12" s="246"/>
      <c r="E12" s="246"/>
      <c r="F12" s="292"/>
      <c r="G12" s="247"/>
      <c r="I12" s="231"/>
      <c r="J12" s="232"/>
      <c r="K12" s="246"/>
      <c r="L12" s="246"/>
      <c r="M12" s="292"/>
      <c r="N12" s="247"/>
      <c r="P12" s="231"/>
      <c r="Q12" s="232"/>
      <c r="R12" s="246"/>
      <c r="S12" s="246"/>
      <c r="T12" s="292"/>
      <c r="U12" s="247"/>
      <c r="W12" s="231"/>
      <c r="X12" s="232"/>
      <c r="Y12" s="246"/>
      <c r="Z12" s="246"/>
      <c r="AA12" s="246"/>
      <c r="AB12" s="247"/>
    </row>
    <row r="13" spans="2:28" ht="20.25" customHeight="1">
      <c r="B13" s="294" t="s">
        <v>171</v>
      </c>
      <c r="C13" s="289">
        <f>COUNTIFS('1. All Data'!$AC$3:$AC$129,"LEADER",'1. All Data'!$I$3:$I$129,"Completed Behind Schedule")</f>
        <v>0</v>
      </c>
      <c r="D13" s="290">
        <f>C13/C20</f>
        <v>0</v>
      </c>
      <c r="E13" s="432">
        <f>D13+D14</f>
        <v>8.6956521739130432E-2</v>
      </c>
      <c r="F13" s="291">
        <f>C13/C21</f>
        <v>0</v>
      </c>
      <c r="G13" s="438">
        <f>F13+F14</f>
        <v>0.15384615384615385</v>
      </c>
      <c r="I13" s="294" t="s">
        <v>171</v>
      </c>
      <c r="J13" s="289">
        <f>COUNTIFS('1. All Data'!$AC$3:$AC$129,"LEADER",'1. All Data'!$N$3:$N$129,"Completed Behind Schedule")</f>
        <v>1</v>
      </c>
      <c r="K13" s="290">
        <f>J13/J20</f>
        <v>4.3478260869565216E-2</v>
      </c>
      <c r="L13" s="432">
        <f>K13+K14</f>
        <v>8.6956521739130432E-2</v>
      </c>
      <c r="M13" s="291">
        <f>J13/J21</f>
        <v>6.6666666666666666E-2</v>
      </c>
      <c r="N13" s="438">
        <f>M13+M14</f>
        <v>0.13333333333333333</v>
      </c>
      <c r="P13" s="294" t="s">
        <v>171</v>
      </c>
      <c r="Q13" s="289">
        <f>COUNTIFS('1. All Data'!$AC$3:$AC$129,"LEADER",'1. All Data'!$S$3:$S$129,"Completed Behind Schedule")</f>
        <v>0</v>
      </c>
      <c r="R13" s="290" t="e">
        <f>Q13/Q20</f>
        <v>#DIV/0!</v>
      </c>
      <c r="S13" s="432" t="e">
        <f>R13+R14</f>
        <v>#DIV/0!</v>
      </c>
      <c r="T13" s="291" t="e">
        <f>Q13/Q21</f>
        <v>#DIV/0!</v>
      </c>
      <c r="U13" s="438" t="e">
        <f>T13+T14</f>
        <v>#DIV/0!</v>
      </c>
      <c r="W13" s="248" t="s">
        <v>165</v>
      </c>
      <c r="X13" s="289">
        <f>COUNTIFS('1. All Data'!$AC$3:$AC$129,"LEADER",'1. All Data'!$W$3:$W$129,"Completed Significantly After Target Deadline")</f>
        <v>0</v>
      </c>
      <c r="Y13" s="290" t="e">
        <f>X13/X20</f>
        <v>#DIV/0!</v>
      </c>
      <c r="Z13" s="432" t="e">
        <f>Y13+Y14</f>
        <v>#DIV/0!</v>
      </c>
      <c r="AA13" s="237" t="e">
        <f>X13/$X$21</f>
        <v>#DIV/0!</v>
      </c>
      <c r="AB13" s="397" t="e">
        <f>AA13+AA14</f>
        <v>#DIV/0!</v>
      </c>
    </row>
    <row r="14" spans="2:28" ht="20.25" customHeight="1">
      <c r="B14" s="294" t="s">
        <v>164</v>
      </c>
      <c r="C14" s="289">
        <f>COUNTIFS('1. All Data'!$AC$3:$AC$129,"LEADER",'1. All Data'!$I$3:$I$129,"Off Target")</f>
        <v>2</v>
      </c>
      <c r="D14" s="290">
        <f>C14/C20</f>
        <v>8.6956521739130432E-2</v>
      </c>
      <c r="E14" s="432"/>
      <c r="F14" s="291">
        <f>C14/C21</f>
        <v>0.15384615384615385</v>
      </c>
      <c r="G14" s="438"/>
      <c r="I14" s="294" t="s">
        <v>164</v>
      </c>
      <c r="J14" s="289">
        <f>COUNTIFS('1. All Data'!$AC$3:$AC$129,"LEADER",'1. All Data'!$N$3:$N$129,"Off Target")</f>
        <v>1</v>
      </c>
      <c r="K14" s="290">
        <f>J14/J20</f>
        <v>4.3478260869565216E-2</v>
      </c>
      <c r="L14" s="432"/>
      <c r="M14" s="291">
        <f>J14/J21</f>
        <v>6.6666666666666666E-2</v>
      </c>
      <c r="N14" s="438"/>
      <c r="P14" s="294" t="s">
        <v>164</v>
      </c>
      <c r="Q14" s="289">
        <f>COUNTIFS('1. All Data'!$AC$3:$AC$129,"LEADER",'1. All Data'!$S$3:$S$129,"Off Target")</f>
        <v>0</v>
      </c>
      <c r="R14" s="290" t="e">
        <f>Q14/Q20</f>
        <v>#DIV/0!</v>
      </c>
      <c r="S14" s="432"/>
      <c r="T14" s="291" t="e">
        <f>Q14/Q21</f>
        <v>#DIV/0!</v>
      </c>
      <c r="U14" s="438"/>
      <c r="W14" s="248" t="s">
        <v>164</v>
      </c>
      <c r="X14" s="289">
        <f>COUNTIFS('1. All Data'!$AC$3:$AC$129,"LEADER",'1. All Data'!$S$3:$S$129,"Off Target")</f>
        <v>0</v>
      </c>
      <c r="Y14" s="290" t="e">
        <f>X14/X20</f>
        <v>#DIV/0!</v>
      </c>
      <c r="Z14" s="432"/>
      <c r="AA14" s="237" t="e">
        <f>X14/$X$21</f>
        <v>#DIV/0!</v>
      </c>
      <c r="AB14" s="397"/>
    </row>
    <row r="15" spans="2:28" s="234" customFormat="1" ht="6.75" customHeight="1">
      <c r="B15" s="231"/>
      <c r="C15" s="249"/>
      <c r="D15" s="246"/>
      <c r="E15" s="246"/>
      <c r="F15" s="292"/>
      <c r="G15" s="250"/>
      <c r="I15" s="231"/>
      <c r="J15" s="249"/>
      <c r="K15" s="246"/>
      <c r="L15" s="246"/>
      <c r="M15" s="292"/>
      <c r="N15" s="250"/>
      <c r="P15" s="231"/>
      <c r="Q15" s="249"/>
      <c r="R15" s="246"/>
      <c r="S15" s="246"/>
      <c r="T15" s="292"/>
      <c r="U15" s="250"/>
      <c r="W15" s="231"/>
      <c r="X15" s="249"/>
      <c r="Y15" s="246"/>
      <c r="Z15" s="246"/>
      <c r="AA15" s="246"/>
      <c r="AB15" s="250"/>
    </row>
    <row r="16" spans="2:28" ht="15" customHeight="1">
      <c r="B16" s="295" t="s">
        <v>193</v>
      </c>
      <c r="C16" s="289">
        <f>COUNTIFS('1. All Data'!$AC$3:$AC$129,"LEADER",'1. All Data'!$I$3:$I$129,"Not yet due")</f>
        <v>8</v>
      </c>
      <c r="D16" s="296">
        <f>C16/C20</f>
        <v>0.34782608695652173</v>
      </c>
      <c r="E16" s="296">
        <f>D16</f>
        <v>0.34782608695652173</v>
      </c>
      <c r="F16" s="297"/>
      <c r="G16" s="65"/>
      <c r="I16" s="295" t="s">
        <v>193</v>
      </c>
      <c r="J16" s="289">
        <f>COUNTIFS('1. All Data'!$AC$3:$AC$129,"LEADER",'1. All Data'!$N$3:$N$129,"Not yet due")</f>
        <v>6</v>
      </c>
      <c r="K16" s="296">
        <f>J16/J20</f>
        <v>0.2608695652173913</v>
      </c>
      <c r="L16" s="296">
        <f>K16</f>
        <v>0.2608695652173913</v>
      </c>
      <c r="M16" s="297"/>
      <c r="N16" s="65"/>
      <c r="P16" s="295" t="s">
        <v>193</v>
      </c>
      <c r="Q16" s="289">
        <f>COUNTIFS('1. All Data'!$AC$3:$AC$129,"LEADER",'1. All Data'!$S$3:$S$129,"Not yet due")</f>
        <v>0</v>
      </c>
      <c r="R16" s="296" t="e">
        <f>Q16/Q20</f>
        <v>#DIV/0!</v>
      </c>
      <c r="S16" s="296" t="e">
        <f>R16</f>
        <v>#DIV/0!</v>
      </c>
      <c r="T16" s="297"/>
      <c r="U16" s="65"/>
      <c r="W16" s="251" t="s">
        <v>193</v>
      </c>
      <c r="X16" s="289">
        <f>COUNTIFS('1. All Data'!$AC$3:$AC$129,"LEADER",'1. All Data'!$W$3:$W$129,"Not yet due")</f>
        <v>0</v>
      </c>
      <c r="Y16" s="296" t="e">
        <f>X16/X20</f>
        <v>#DIV/0!</v>
      </c>
      <c r="Z16" s="296" t="e">
        <f>Y16</f>
        <v>#DIV/0!</v>
      </c>
      <c r="AA16" s="253"/>
      <c r="AB16" s="65"/>
    </row>
    <row r="17" spans="2:29" ht="15" customHeight="1">
      <c r="B17" s="295" t="s">
        <v>159</v>
      </c>
      <c r="C17" s="289">
        <f>COUNTIFS('1. All Data'!$AC$3:$AC$129,"LEADER",'1. All Data'!$I$3:$I$129,"Update not provided")</f>
        <v>0</v>
      </c>
      <c r="D17" s="296">
        <f>C17/C20</f>
        <v>0</v>
      </c>
      <c r="E17" s="296">
        <f>D17</f>
        <v>0</v>
      </c>
      <c r="F17" s="297"/>
      <c r="G17" s="8"/>
      <c r="I17" s="295" t="s">
        <v>159</v>
      </c>
      <c r="J17" s="289">
        <f>COUNTIFS('1. All Data'!$AC$3:$AC$129,"LEADER",'1. All Data'!$N$3:$N$129,"Update not provided")</f>
        <v>0</v>
      </c>
      <c r="K17" s="296">
        <f>J17/J20</f>
        <v>0</v>
      </c>
      <c r="L17" s="296">
        <f>K17</f>
        <v>0</v>
      </c>
      <c r="M17" s="297"/>
      <c r="N17" s="8"/>
      <c r="P17" s="295" t="s">
        <v>159</v>
      </c>
      <c r="Q17" s="289">
        <f>COUNTIFS('1. All Data'!$AC$3:$AC$129,"LEADER",'1. All Data'!$S$3:$S$129,"Update not provided")</f>
        <v>0</v>
      </c>
      <c r="R17" s="296" t="e">
        <f>Q17/Q20</f>
        <v>#DIV/0!</v>
      </c>
      <c r="S17" s="296" t="e">
        <f>R17</f>
        <v>#DIV/0!</v>
      </c>
      <c r="T17" s="297"/>
      <c r="U17" s="8"/>
      <c r="W17" s="251" t="s">
        <v>159</v>
      </c>
      <c r="X17" s="289">
        <f>COUNTIFS('1. All Data'!$AC$3:$AC$129,"LEADER",'1. All Data'!$W$3:$W$129,"Update not provided")</f>
        <v>0</v>
      </c>
      <c r="Y17" s="296" t="e">
        <f>X17/X20</f>
        <v>#DIV/0!</v>
      </c>
      <c r="Z17" s="296" t="e">
        <f>Y17</f>
        <v>#DIV/0!</v>
      </c>
      <c r="AA17" s="253"/>
      <c r="AB17" s="8"/>
    </row>
    <row r="18" spans="2:29" ht="15.75" customHeight="1">
      <c r="B18" s="298" t="s">
        <v>167</v>
      </c>
      <c r="C18" s="289">
        <f>COUNTIFS('1. All Data'!$AC$3:$AC$129,"LEADER",'1. All Data'!$I$3:$I$129,"Deferred")</f>
        <v>0</v>
      </c>
      <c r="D18" s="299">
        <f>C18/C20</f>
        <v>0</v>
      </c>
      <c r="E18" s="299">
        <f>D18</f>
        <v>0</v>
      </c>
      <c r="F18" s="300"/>
      <c r="G18" s="65"/>
      <c r="I18" s="298" t="s">
        <v>167</v>
      </c>
      <c r="J18" s="289">
        <f>COUNTIFS('1. All Data'!$AC$3:$AC$129,"LEADER",'1. All Data'!$N$3:$N$129,"Deferred")</f>
        <v>0</v>
      </c>
      <c r="K18" s="299">
        <f>J18/J20</f>
        <v>0</v>
      </c>
      <c r="L18" s="299">
        <f>K18</f>
        <v>0</v>
      </c>
      <c r="M18" s="300"/>
      <c r="N18" s="65"/>
      <c r="P18" s="298" t="s">
        <v>167</v>
      </c>
      <c r="Q18" s="289">
        <f>COUNTIFS('1. All Data'!$AC$3:$AC$129,"LEADER",'1. All Data'!$S$3:$S$129,"Deferred")</f>
        <v>0</v>
      </c>
      <c r="R18" s="299" t="e">
        <f>Q18/Q20</f>
        <v>#DIV/0!</v>
      </c>
      <c r="S18" s="299" t="e">
        <f>R18</f>
        <v>#DIV/0!</v>
      </c>
      <c r="T18" s="300"/>
      <c r="U18" s="65"/>
      <c r="W18" s="254" t="s">
        <v>167</v>
      </c>
      <c r="X18" s="289">
        <f>COUNTIFS('1. All Data'!$AC$3:$AC$129,"LEADER",'1. All Data'!$W$3:$W$129,"Deferred")</f>
        <v>0</v>
      </c>
      <c r="Y18" s="299" t="e">
        <f>X18/X20</f>
        <v>#DIV/0!</v>
      </c>
      <c r="Z18" s="299" t="e">
        <f>Y18</f>
        <v>#DIV/0!</v>
      </c>
      <c r="AA18" s="256"/>
      <c r="AB18" s="65"/>
    </row>
    <row r="19" spans="2:29" ht="15.75" customHeight="1">
      <c r="B19" s="298" t="s">
        <v>168</v>
      </c>
      <c r="C19" s="289">
        <f>COUNTIFS('1. All Data'!$AC$3:$AC$129,"LEADER",'1. All Data'!$I$3:$I$129,"Deleted")</f>
        <v>2</v>
      </c>
      <c r="D19" s="299">
        <f>C19/C20</f>
        <v>8.6956521739130432E-2</v>
      </c>
      <c r="E19" s="299">
        <f>D19</f>
        <v>8.6956521739130432E-2</v>
      </c>
      <c r="F19" s="300"/>
      <c r="G19" s="36" t="s">
        <v>194</v>
      </c>
      <c r="I19" s="298" t="s">
        <v>168</v>
      </c>
      <c r="J19" s="289">
        <f>COUNTIFS('1. All Data'!$AC$3:$AC$129,"LEADER",'1. All Data'!$N$3:$N$129,"Deleted")</f>
        <v>2</v>
      </c>
      <c r="K19" s="299">
        <f>J19/J20</f>
        <v>8.6956521739130432E-2</v>
      </c>
      <c r="L19" s="299">
        <f>K19</f>
        <v>8.6956521739130432E-2</v>
      </c>
      <c r="M19" s="300"/>
      <c r="N19" s="36" t="s">
        <v>194</v>
      </c>
      <c r="P19" s="298" t="s">
        <v>168</v>
      </c>
      <c r="Q19" s="289">
        <f>COUNTIFS('1. All Data'!$AC$3:$AC$129,"LEADER",'1. All Data'!$S$3:$S$129,"Deleted")</f>
        <v>0</v>
      </c>
      <c r="R19" s="299" t="e">
        <f>Q19/Q20</f>
        <v>#DIV/0!</v>
      </c>
      <c r="S19" s="299" t="e">
        <f>R19</f>
        <v>#DIV/0!</v>
      </c>
      <c r="T19" s="300"/>
      <c r="U19" s="36" t="s">
        <v>194</v>
      </c>
      <c r="W19" s="254" t="s">
        <v>168</v>
      </c>
      <c r="X19" s="289">
        <f>COUNTIFS('1. All Data'!$AC$3:$AC$129,"LEADER",'1. All Data'!$W$3:$W$129,"Deleted")</f>
        <v>0</v>
      </c>
      <c r="Y19" s="299" t="e">
        <f>X19/X20</f>
        <v>#DIV/0!</v>
      </c>
      <c r="Z19" s="299" t="e">
        <f>Y19</f>
        <v>#DIV/0!</v>
      </c>
      <c r="AA19" s="256"/>
      <c r="AB19" s="9" t="s">
        <v>194</v>
      </c>
    </row>
    <row r="20" spans="2:29" ht="15.75" customHeight="1">
      <c r="B20" s="301" t="s">
        <v>195</v>
      </c>
      <c r="C20" s="302">
        <f>SUM(C6:C19)</f>
        <v>23</v>
      </c>
      <c r="D20" s="256"/>
      <c r="E20" s="256"/>
      <c r="F20" s="303"/>
      <c r="G20" s="65"/>
      <c r="I20" s="301" t="s">
        <v>195</v>
      </c>
      <c r="J20" s="302">
        <f>SUM(J6:J19)</f>
        <v>23</v>
      </c>
      <c r="K20" s="256"/>
      <c r="L20" s="256"/>
      <c r="M20" s="303"/>
      <c r="N20" s="65"/>
      <c r="P20" s="301" t="s">
        <v>195</v>
      </c>
      <c r="Q20" s="302">
        <f>SUM(Q6:Q19)</f>
        <v>0</v>
      </c>
      <c r="R20" s="256"/>
      <c r="S20" s="256"/>
      <c r="T20" s="303"/>
      <c r="U20" s="65"/>
      <c r="W20" s="257" t="s">
        <v>195</v>
      </c>
      <c r="X20" s="302">
        <f>SUM(X6:X19)</f>
        <v>0</v>
      </c>
      <c r="Y20" s="256"/>
      <c r="Z20" s="256"/>
      <c r="AA20" s="65"/>
      <c r="AB20" s="65"/>
    </row>
    <row r="21" spans="2:29" ht="15.75" customHeight="1">
      <c r="B21" s="301" t="s">
        <v>196</v>
      </c>
      <c r="C21" s="302">
        <f>C20-C19-C18-C17-C16</f>
        <v>13</v>
      </c>
      <c r="D21" s="65"/>
      <c r="E21" s="65"/>
      <c r="F21" s="303"/>
      <c r="G21" s="65"/>
      <c r="I21" s="301" t="s">
        <v>196</v>
      </c>
      <c r="J21" s="302">
        <f>J20-J19-J18-J17-J16</f>
        <v>15</v>
      </c>
      <c r="K21" s="65"/>
      <c r="L21" s="65"/>
      <c r="M21" s="303"/>
      <c r="N21" s="65"/>
      <c r="P21" s="301" t="s">
        <v>196</v>
      </c>
      <c r="Q21" s="302">
        <f>Q20-Q19-Q18-Q17-Q16</f>
        <v>0</v>
      </c>
      <c r="R21" s="65"/>
      <c r="S21" s="65"/>
      <c r="T21" s="303"/>
      <c r="U21" s="65"/>
      <c r="W21" s="257" t="s">
        <v>196</v>
      </c>
      <c r="X21" s="302">
        <f>X20-X19-X18-X17-X16</f>
        <v>0</v>
      </c>
      <c r="Y21" s="65"/>
      <c r="Z21" s="65"/>
      <c r="AA21" s="65"/>
      <c r="AB21" s="65"/>
    </row>
    <row r="22" spans="2:29" ht="15.75" customHeight="1">
      <c r="W22" s="259"/>
      <c r="AA22" s="8"/>
    </row>
    <row r="23" spans="2:29" ht="15.75" customHeight="1">
      <c r="AA23" s="8"/>
    </row>
    <row r="24" spans="2:29" s="234" customFormat="1" ht="15.75" customHeight="1">
      <c r="B24" s="267"/>
      <c r="C24" s="233"/>
      <c r="D24" s="233"/>
      <c r="E24" s="233"/>
      <c r="F24" s="303"/>
      <c r="G24" s="233"/>
      <c r="I24" s="267"/>
      <c r="J24" s="233"/>
      <c r="K24" s="233"/>
      <c r="L24" s="233"/>
      <c r="M24" s="303"/>
      <c r="N24" s="233"/>
      <c r="P24" s="267"/>
      <c r="Q24" s="233"/>
      <c r="R24" s="233"/>
      <c r="S24" s="233"/>
      <c r="T24" s="303"/>
      <c r="U24" s="233"/>
      <c r="W24" s="233"/>
      <c r="X24" s="233"/>
      <c r="Y24" s="233"/>
      <c r="Z24" s="233"/>
      <c r="AA24" s="65"/>
      <c r="AB24" s="266"/>
    </row>
    <row r="25" spans="2:29" ht="15" customHeight="1">
      <c r="W25" s="304"/>
      <c r="X25" s="65"/>
      <c r="Y25" s="65"/>
      <c r="Z25" s="65"/>
      <c r="AA25" s="65"/>
      <c r="AB25" s="256"/>
      <c r="AC25" s="234"/>
    </row>
    <row r="26" spans="2:29" s="234" customFormat="1" ht="15.75">
      <c r="B26" s="283" t="s">
        <v>217</v>
      </c>
      <c r="C26" s="284"/>
      <c r="D26" s="284"/>
      <c r="E26" s="284"/>
      <c r="F26" s="285"/>
      <c r="G26" s="284"/>
      <c r="I26" s="283" t="s">
        <v>217</v>
      </c>
      <c r="J26" s="284"/>
      <c r="K26" s="284"/>
      <c r="L26" s="284"/>
      <c r="M26" s="285"/>
      <c r="N26" s="284"/>
      <c r="P26" s="283" t="s">
        <v>217</v>
      </c>
      <c r="Q26" s="284"/>
      <c r="R26" s="284"/>
      <c r="S26" s="284"/>
      <c r="T26" s="285"/>
      <c r="U26" s="284"/>
      <c r="W26" s="283" t="s">
        <v>217</v>
      </c>
      <c r="X26" s="284"/>
      <c r="Y26" s="284"/>
      <c r="Z26" s="284"/>
      <c r="AA26" s="285"/>
      <c r="AB26" s="284"/>
    </row>
    <row r="27" spans="2:29" ht="42" customHeight="1">
      <c r="B27" s="286" t="s">
        <v>186</v>
      </c>
      <c r="C27" s="287" t="s">
        <v>187</v>
      </c>
      <c r="D27" s="287" t="s">
        <v>188</v>
      </c>
      <c r="E27" s="287" t="s">
        <v>189</v>
      </c>
      <c r="F27" s="286" t="s">
        <v>190</v>
      </c>
      <c r="G27" s="287" t="s">
        <v>191</v>
      </c>
      <c r="I27" s="286" t="s">
        <v>186</v>
      </c>
      <c r="J27" s="287" t="s">
        <v>187</v>
      </c>
      <c r="K27" s="287" t="s">
        <v>188</v>
      </c>
      <c r="L27" s="287" t="s">
        <v>189</v>
      </c>
      <c r="M27" s="286" t="s">
        <v>190</v>
      </c>
      <c r="N27" s="287" t="s">
        <v>191</v>
      </c>
      <c r="P27" s="286" t="s">
        <v>186</v>
      </c>
      <c r="Q27" s="287" t="s">
        <v>187</v>
      </c>
      <c r="R27" s="287" t="s">
        <v>188</v>
      </c>
      <c r="S27" s="287" t="s">
        <v>189</v>
      </c>
      <c r="T27" s="286" t="s">
        <v>190</v>
      </c>
      <c r="U27" s="287" t="s">
        <v>191</v>
      </c>
      <c r="W27" s="230" t="s">
        <v>186</v>
      </c>
      <c r="X27" s="230" t="s">
        <v>187</v>
      </c>
      <c r="Y27" s="230" t="s">
        <v>188</v>
      </c>
      <c r="Z27" s="230" t="s">
        <v>189</v>
      </c>
      <c r="AA27" s="230" t="s">
        <v>190</v>
      </c>
      <c r="AB27" s="230" t="s">
        <v>191</v>
      </c>
      <c r="AC27" s="234"/>
    </row>
    <row r="28" spans="2:29" s="234" customFormat="1" ht="6" customHeight="1">
      <c r="B28" s="231"/>
      <c r="C28" s="232"/>
      <c r="D28" s="232"/>
      <c r="E28" s="232"/>
      <c r="F28" s="231"/>
      <c r="G28" s="232"/>
      <c r="I28" s="231"/>
      <c r="J28" s="232"/>
      <c r="K28" s="232"/>
      <c r="L28" s="232"/>
      <c r="M28" s="231"/>
      <c r="N28" s="232"/>
      <c r="P28" s="231"/>
      <c r="Q28" s="232"/>
      <c r="R28" s="232"/>
      <c r="S28" s="232"/>
      <c r="T28" s="231"/>
      <c r="U28" s="232"/>
      <c r="W28" s="231"/>
      <c r="X28" s="232"/>
      <c r="Y28" s="232"/>
      <c r="Z28" s="232"/>
      <c r="AA28" s="232"/>
      <c r="AB28" s="232"/>
    </row>
    <row r="29" spans="2:29" ht="21.75" customHeight="1">
      <c r="B29" s="288" t="s">
        <v>192</v>
      </c>
      <c r="C29" s="289">
        <f>COUNTIFS('1. All Data'!$AC$3:$AC$129,"Environment &amp; Housing",'1. All Data'!$I$3:$I$129,"Fully Achieved")</f>
        <v>2</v>
      </c>
      <c r="D29" s="290">
        <f>C29/C43</f>
        <v>6.25E-2</v>
      </c>
      <c r="E29" s="432">
        <f>D29+D30</f>
        <v>0.75</v>
      </c>
      <c r="F29" s="291">
        <f>C29/C44</f>
        <v>8.3333333333333329E-2</v>
      </c>
      <c r="G29" s="437">
        <f>F29+F30</f>
        <v>1</v>
      </c>
      <c r="I29" s="288" t="s">
        <v>192</v>
      </c>
      <c r="J29" s="289">
        <f>COUNTIFS('1. All Data'!$AC$3:$AC$129,"Environment &amp; Housing",'1. All Data'!$N$3:$N$129,"Fully Achieved")</f>
        <v>2</v>
      </c>
      <c r="K29" s="290">
        <f>J29/J43</f>
        <v>6.25E-2</v>
      </c>
      <c r="L29" s="432">
        <f>K29+K30</f>
        <v>0.875</v>
      </c>
      <c r="M29" s="291">
        <f>J29/J44</f>
        <v>6.6666666666666666E-2</v>
      </c>
      <c r="N29" s="437">
        <f>M29+M30</f>
        <v>0.93333333333333335</v>
      </c>
      <c r="P29" s="288" t="s">
        <v>192</v>
      </c>
      <c r="Q29" s="289">
        <f>COUNTIFS('1. All Data'!$AC$3:$AC$129,"Environment &amp; Housing",'1. All Data'!$S$3:$S$129,"Fully Achieved")</f>
        <v>0</v>
      </c>
      <c r="R29" s="290" t="e">
        <f>Q29/Q43</f>
        <v>#DIV/0!</v>
      </c>
      <c r="S29" s="432" t="e">
        <f>R29+R30</f>
        <v>#DIV/0!</v>
      </c>
      <c r="T29" s="291" t="e">
        <f>Q29/Q44</f>
        <v>#DIV/0!</v>
      </c>
      <c r="U29" s="437" t="e">
        <f>T29+T30</f>
        <v>#DIV/0!</v>
      </c>
      <c r="W29" s="235" t="s">
        <v>192</v>
      </c>
      <c r="X29" s="289">
        <f>COUNTIFS('1. All Data'!$AC$3:$AC$129,"Environment &amp; Housing",'1. All Data'!$W$3:$W$129,"Fully Achieved")</f>
        <v>0</v>
      </c>
      <c r="Y29" s="290" t="e">
        <f>X29/X43</f>
        <v>#DIV/0!</v>
      </c>
      <c r="Z29" s="432" t="e">
        <f>Y29+Y30</f>
        <v>#DIV/0!</v>
      </c>
      <c r="AA29" s="290" t="e">
        <f>X29/X44</f>
        <v>#DIV/0!</v>
      </c>
      <c r="AB29" s="410" t="e">
        <f>AA29+AA30</f>
        <v>#DIV/0!</v>
      </c>
      <c r="AC29" s="234"/>
    </row>
    <row r="30" spans="2:29" ht="18.75" customHeight="1">
      <c r="B30" s="288" t="s">
        <v>169</v>
      </c>
      <c r="C30" s="289">
        <f>COUNTIFS('1. All Data'!$AC$3:$AC$129,"Environment &amp; Housing",'1. All Data'!$I$3:$I$129,"On Track to be Achieved")</f>
        <v>22</v>
      </c>
      <c r="D30" s="290">
        <f>C30/C43</f>
        <v>0.6875</v>
      </c>
      <c r="E30" s="432"/>
      <c r="F30" s="291">
        <f>C30/C44</f>
        <v>0.91666666666666663</v>
      </c>
      <c r="G30" s="437"/>
      <c r="I30" s="288" t="s">
        <v>169</v>
      </c>
      <c r="J30" s="289">
        <f>COUNTIFS('1. All Data'!$AC$3:$AC$129,"Environment &amp; Housing",'1. All Data'!$N$3:$N$129,"On Track to be Achieved")</f>
        <v>26</v>
      </c>
      <c r="K30" s="290">
        <f>J30/J43</f>
        <v>0.8125</v>
      </c>
      <c r="L30" s="432"/>
      <c r="M30" s="291">
        <f>J30/J44</f>
        <v>0.8666666666666667</v>
      </c>
      <c r="N30" s="437"/>
      <c r="P30" s="288" t="s">
        <v>169</v>
      </c>
      <c r="Q30" s="289">
        <f>COUNTIFS('1. All Data'!$AC$3:$AC$129,"Environment &amp; Housing",'1. All Data'!$S$3:$S$129,"On Track to be Achieved")</f>
        <v>0</v>
      </c>
      <c r="R30" s="290" t="e">
        <f>Q30/Q43</f>
        <v>#DIV/0!</v>
      </c>
      <c r="S30" s="432"/>
      <c r="T30" s="291" t="e">
        <f>Q30/Q44</f>
        <v>#DIV/0!</v>
      </c>
      <c r="U30" s="437"/>
      <c r="W30" s="235" t="s">
        <v>161</v>
      </c>
      <c r="X30" s="289">
        <f>COUNTIFS('1. All Data'!$AC$3:$AC$129,"Environment &amp; Housing",'1. All Data'!$W$3:$W$129,"Numerical Outturn Within 5% Tolerance")</f>
        <v>0</v>
      </c>
      <c r="Y30" s="290" t="e">
        <f>X30/X43</f>
        <v>#DIV/0!</v>
      </c>
      <c r="Z30" s="432"/>
      <c r="AA30" s="290" t="e">
        <f>X30/X44</f>
        <v>#DIV/0!</v>
      </c>
      <c r="AB30" s="410"/>
      <c r="AC30" s="234"/>
    </row>
    <row r="31" spans="2:29" s="234" customFormat="1" ht="6" customHeight="1">
      <c r="B31" s="231"/>
      <c r="C31" s="249"/>
      <c r="D31" s="246"/>
      <c r="E31" s="246"/>
      <c r="F31" s="292"/>
      <c r="G31" s="247"/>
      <c r="I31" s="231"/>
      <c r="J31" s="249"/>
      <c r="K31" s="246"/>
      <c r="L31" s="246"/>
      <c r="M31" s="292"/>
      <c r="N31" s="247"/>
      <c r="P31" s="231"/>
      <c r="Q31" s="249"/>
      <c r="R31" s="246"/>
      <c r="S31" s="246"/>
      <c r="T31" s="292"/>
      <c r="U31" s="247"/>
      <c r="W31" s="238"/>
      <c r="X31" s="239"/>
      <c r="Y31" s="240"/>
      <c r="Z31" s="240"/>
      <c r="AA31" s="240"/>
      <c r="AB31" s="241"/>
    </row>
    <row r="32" spans="2:29" ht="21" customHeight="1">
      <c r="B32" s="426" t="s">
        <v>170</v>
      </c>
      <c r="C32" s="429">
        <f>COUNTIFS('1. All Data'!$AC$3:$AC$129,"Environment &amp; Housing",'1. All Data'!$I$3:$I$129,"In Danger of Falling Behind Target")</f>
        <v>0</v>
      </c>
      <c r="D32" s="434">
        <f>C32/C43</f>
        <v>0</v>
      </c>
      <c r="E32" s="434">
        <f>D32</f>
        <v>0</v>
      </c>
      <c r="F32" s="420">
        <f>C32/C44</f>
        <v>0</v>
      </c>
      <c r="G32" s="423">
        <f>F32</f>
        <v>0</v>
      </c>
      <c r="I32" s="426" t="s">
        <v>170</v>
      </c>
      <c r="J32" s="429">
        <f>COUNTIFS('1. All Data'!$AC$3:$AC$129,"Environment &amp; Housing",'1. All Data'!$N$3:$N$129,"In Danger of Falling Behind Target")</f>
        <v>2</v>
      </c>
      <c r="K32" s="434">
        <f>J32/J43</f>
        <v>6.25E-2</v>
      </c>
      <c r="L32" s="434">
        <f>K32</f>
        <v>6.25E-2</v>
      </c>
      <c r="M32" s="420">
        <f>J32/J44</f>
        <v>6.6666666666666666E-2</v>
      </c>
      <c r="N32" s="423">
        <f>M32</f>
        <v>6.6666666666666666E-2</v>
      </c>
      <c r="P32" s="426" t="s">
        <v>170</v>
      </c>
      <c r="Q32" s="429">
        <f>COUNTIFS('1. All Data'!$AC$3:$AC$129,"Environment &amp; Housing",'1. All Data'!$S$3:$S$129,"In Danger of Falling Behind Target")</f>
        <v>0</v>
      </c>
      <c r="R32" s="434" t="e">
        <f>Q32/Q43</f>
        <v>#DIV/0!</v>
      </c>
      <c r="S32" s="434" t="e">
        <f>R32</f>
        <v>#DIV/0!</v>
      </c>
      <c r="T32" s="420" t="e">
        <f>Q32/Q44</f>
        <v>#DIV/0!</v>
      </c>
      <c r="U32" s="423" t="e">
        <f>T32</f>
        <v>#DIV/0!</v>
      </c>
      <c r="W32" s="244" t="s">
        <v>162</v>
      </c>
      <c r="X32" s="245">
        <f>COUNTIFS('1. All Data'!$AC$3:$AC$129,"Environment &amp; Housing",'1. All Data'!$W$3:$W$129,"Numerical Outturn Within 10% Tolerance")</f>
        <v>0</v>
      </c>
      <c r="Y32" s="237" t="e">
        <f>X32/X43</f>
        <v>#DIV/0!</v>
      </c>
      <c r="Z32" s="395" t="e">
        <f>SUM(Y32:Y34)</f>
        <v>#DIV/0!</v>
      </c>
      <c r="AA32" s="237" t="e">
        <f>X32/X44</f>
        <v>#DIV/0!</v>
      </c>
      <c r="AB32" s="396" t="e">
        <f>SUM(AA32:AA34)</f>
        <v>#DIV/0!</v>
      </c>
      <c r="AC32" s="234"/>
    </row>
    <row r="33" spans="2:29" ht="20.25" customHeight="1">
      <c r="B33" s="427"/>
      <c r="C33" s="430"/>
      <c r="D33" s="435"/>
      <c r="E33" s="435"/>
      <c r="F33" s="421"/>
      <c r="G33" s="424"/>
      <c r="I33" s="427"/>
      <c r="J33" s="430"/>
      <c r="K33" s="435"/>
      <c r="L33" s="435"/>
      <c r="M33" s="421"/>
      <c r="N33" s="424"/>
      <c r="P33" s="427"/>
      <c r="Q33" s="430"/>
      <c r="R33" s="435"/>
      <c r="S33" s="435"/>
      <c r="T33" s="421"/>
      <c r="U33" s="424"/>
      <c r="W33" s="244" t="s">
        <v>163</v>
      </c>
      <c r="X33" s="245">
        <f>COUNTIFS('1. All Data'!$AC$3:$AC$129,"Environment &amp; Housing",'1. All Data'!$W$3:$W$129,"Target Partially Met")</f>
        <v>0</v>
      </c>
      <c r="Y33" s="237" t="e">
        <f>X33/X43</f>
        <v>#DIV/0!</v>
      </c>
      <c r="Z33" s="395"/>
      <c r="AA33" s="237" t="e">
        <f>X33/X44</f>
        <v>#DIV/0!</v>
      </c>
      <c r="AB33" s="396"/>
      <c r="AC33" s="234"/>
    </row>
    <row r="34" spans="2:29" ht="15.75" customHeight="1">
      <c r="B34" s="428"/>
      <c r="C34" s="431"/>
      <c r="D34" s="436"/>
      <c r="E34" s="436"/>
      <c r="F34" s="422"/>
      <c r="G34" s="425"/>
      <c r="I34" s="428"/>
      <c r="J34" s="431"/>
      <c r="K34" s="436"/>
      <c r="L34" s="436"/>
      <c r="M34" s="422"/>
      <c r="N34" s="425"/>
      <c r="P34" s="428"/>
      <c r="Q34" s="431"/>
      <c r="R34" s="436"/>
      <c r="S34" s="436"/>
      <c r="T34" s="422"/>
      <c r="U34" s="425"/>
      <c r="W34" s="244" t="s">
        <v>166</v>
      </c>
      <c r="X34" s="245">
        <f>COUNTIFS('1. All Data'!$AC$3:$AC$129,"Environment &amp; Housing",'1. All Data'!$W$3:$W$129,"Completion Date Within Reasonable Tolerance")</f>
        <v>0</v>
      </c>
      <c r="Y34" s="237" t="e">
        <f>X34/X43</f>
        <v>#DIV/0!</v>
      </c>
      <c r="Z34" s="395"/>
      <c r="AA34" s="237" t="e">
        <f>X34/X44</f>
        <v>#DIV/0!</v>
      </c>
      <c r="AB34" s="396"/>
      <c r="AC34" s="234"/>
    </row>
    <row r="35" spans="2:29" s="234" customFormat="1" ht="6" customHeight="1">
      <c r="B35" s="231"/>
      <c r="C35" s="232"/>
      <c r="D35" s="246"/>
      <c r="E35" s="246"/>
      <c r="F35" s="292"/>
      <c r="G35" s="247"/>
      <c r="I35" s="231"/>
      <c r="J35" s="232"/>
      <c r="K35" s="246"/>
      <c r="L35" s="246"/>
      <c r="M35" s="292"/>
      <c r="N35" s="247"/>
      <c r="P35" s="231"/>
      <c r="Q35" s="232"/>
      <c r="R35" s="246"/>
      <c r="S35" s="246"/>
      <c r="T35" s="292"/>
      <c r="U35" s="247"/>
      <c r="W35" s="231"/>
      <c r="X35" s="232"/>
      <c r="Y35" s="246"/>
      <c r="Z35" s="246"/>
      <c r="AA35" s="246"/>
      <c r="AB35" s="247"/>
    </row>
    <row r="36" spans="2:29" ht="20.25" customHeight="1">
      <c r="B36" s="293" t="s">
        <v>171</v>
      </c>
      <c r="C36" s="289">
        <f>COUNTIFS('1. All Data'!$AC$3:$AC$129,"Environment &amp; Housing",'1. All Data'!$I$3:$I$129,"Completed Behind Schedule")</f>
        <v>0</v>
      </c>
      <c r="D36" s="290">
        <f>C36/C43</f>
        <v>0</v>
      </c>
      <c r="E36" s="432">
        <f>D36+D37</f>
        <v>0</v>
      </c>
      <c r="F36" s="291">
        <f>C36/C44</f>
        <v>0</v>
      </c>
      <c r="G36" s="433">
        <f>F36+F37</f>
        <v>0</v>
      </c>
      <c r="I36" s="293" t="s">
        <v>171</v>
      </c>
      <c r="J36" s="289">
        <f>COUNTIFS('1. All Data'!$AC$3:$AC$129,"Environment &amp; Housing",'1. All Data'!$N$3:$N$129,"Completed Behind Schedule")</f>
        <v>0</v>
      </c>
      <c r="K36" s="290">
        <f>J36/J43</f>
        <v>0</v>
      </c>
      <c r="L36" s="432">
        <f>K36+K37</f>
        <v>0</v>
      </c>
      <c r="M36" s="291">
        <f>J36/J44</f>
        <v>0</v>
      </c>
      <c r="N36" s="433">
        <f>M36+M37</f>
        <v>0</v>
      </c>
      <c r="P36" s="293" t="s">
        <v>171</v>
      </c>
      <c r="Q36" s="289">
        <f>COUNTIFS('1. All Data'!$AC$3:$AC$129,"Environment &amp; Housing",'1. All Data'!$S$3:$S$129,"Completed Behind Schedule")</f>
        <v>0</v>
      </c>
      <c r="R36" s="290" t="e">
        <f>Q36/Q43</f>
        <v>#DIV/0!</v>
      </c>
      <c r="S36" s="432" t="e">
        <f>R36+R37</f>
        <v>#DIV/0!</v>
      </c>
      <c r="T36" s="291" t="e">
        <f>Q36/Q44</f>
        <v>#DIV/0!</v>
      </c>
      <c r="U36" s="433" t="e">
        <f>T36+T37</f>
        <v>#DIV/0!</v>
      </c>
      <c r="W36" s="248" t="s">
        <v>165</v>
      </c>
      <c r="X36" s="289">
        <f>COUNTIFS('1. All Data'!$AC$3:$AC$129,"Environment &amp; Housing",'1. All Data'!$W$3:$W$129,"Completed Significantly After Target Deadline")</f>
        <v>0</v>
      </c>
      <c r="Y36" s="290" t="e">
        <f>X36/X43</f>
        <v>#DIV/0!</v>
      </c>
      <c r="Z36" s="432" t="e">
        <f>Y36+Y37</f>
        <v>#DIV/0!</v>
      </c>
      <c r="AA36" s="290" t="e">
        <f>X36/X44</f>
        <v>#DIV/0!</v>
      </c>
      <c r="AB36" s="397" t="e">
        <f>AA36+AA37</f>
        <v>#DIV/0!</v>
      </c>
      <c r="AC36" s="234"/>
    </row>
    <row r="37" spans="2:29" ht="20.25" customHeight="1">
      <c r="B37" s="293" t="s">
        <v>164</v>
      </c>
      <c r="C37" s="289">
        <f>COUNTIFS('1. All Data'!$AC$3:$AC$129,"Environment &amp; Housing",'1. All Data'!$I$3:$I$129,"Off Target")</f>
        <v>0</v>
      </c>
      <c r="D37" s="290">
        <f>C37/C43</f>
        <v>0</v>
      </c>
      <c r="E37" s="432"/>
      <c r="F37" s="291">
        <f>C37/C44</f>
        <v>0</v>
      </c>
      <c r="G37" s="433"/>
      <c r="I37" s="293" t="s">
        <v>164</v>
      </c>
      <c r="J37" s="289">
        <f>COUNTIFS('1. All Data'!$AC$3:$AC$129,"Environment &amp; Housing",'1. All Data'!$N$3:$N$129,"Off Target")</f>
        <v>0</v>
      </c>
      <c r="K37" s="290">
        <f>J37/J43</f>
        <v>0</v>
      </c>
      <c r="L37" s="432"/>
      <c r="M37" s="291">
        <f>J37/J44</f>
        <v>0</v>
      </c>
      <c r="N37" s="433"/>
      <c r="P37" s="293" t="s">
        <v>164</v>
      </c>
      <c r="Q37" s="289">
        <f>COUNTIFS('1. All Data'!$AC$3:$AC$129,"Environment &amp; Housing",'1. All Data'!$S$3:$S$129,"Off Target")</f>
        <v>0</v>
      </c>
      <c r="R37" s="290" t="e">
        <f>Q37/Q43</f>
        <v>#DIV/0!</v>
      </c>
      <c r="S37" s="432"/>
      <c r="T37" s="291" t="e">
        <f>Q37/Q44</f>
        <v>#DIV/0!</v>
      </c>
      <c r="U37" s="433"/>
      <c r="W37" s="248" t="s">
        <v>164</v>
      </c>
      <c r="X37" s="289">
        <f>COUNTIFS('1. All Data'!$AC$3:$AC$129,"Environment &amp; Housing",'1. All Data'!$W$3:$W$129,"Off Target")</f>
        <v>0</v>
      </c>
      <c r="Y37" s="290" t="e">
        <f>X37/X43</f>
        <v>#DIV/0!</v>
      </c>
      <c r="Z37" s="432"/>
      <c r="AA37" s="290" t="e">
        <f>X37/X44</f>
        <v>#DIV/0!</v>
      </c>
      <c r="AB37" s="397"/>
      <c r="AC37" s="234"/>
    </row>
    <row r="38" spans="2:29" s="234" customFormat="1" ht="6.75" customHeight="1">
      <c r="B38" s="231"/>
      <c r="C38" s="249"/>
      <c r="D38" s="246"/>
      <c r="E38" s="246"/>
      <c r="F38" s="292"/>
      <c r="G38" s="250"/>
      <c r="I38" s="231"/>
      <c r="J38" s="249"/>
      <c r="K38" s="246"/>
      <c r="L38" s="246"/>
      <c r="M38" s="292"/>
      <c r="N38" s="250"/>
      <c r="P38" s="231"/>
      <c r="Q38" s="249"/>
      <c r="R38" s="246"/>
      <c r="S38" s="246"/>
      <c r="T38" s="292"/>
      <c r="U38" s="250"/>
      <c r="W38" s="231"/>
      <c r="X38" s="249"/>
      <c r="Y38" s="246"/>
      <c r="Z38" s="246"/>
      <c r="AA38" s="246"/>
      <c r="AB38" s="250"/>
    </row>
    <row r="39" spans="2:29" ht="15" customHeight="1">
      <c r="B39" s="295" t="s">
        <v>193</v>
      </c>
      <c r="C39" s="289">
        <f>COUNTIFS('1. All Data'!$AC$3:$AC$129,"Environment &amp; Housing",'1. All Data'!$I$3:$I$129,"Not yet due")</f>
        <v>7</v>
      </c>
      <c r="D39" s="296">
        <f>C39/C43</f>
        <v>0.21875</v>
      </c>
      <c r="E39" s="296">
        <f>D39</f>
        <v>0.21875</v>
      </c>
      <c r="F39" s="297"/>
      <c r="G39" s="65"/>
      <c r="I39" s="295" t="s">
        <v>193</v>
      </c>
      <c r="J39" s="289">
        <f>COUNTIFS('1. All Data'!$AC$3:$AC$129,"Environment &amp; Housing",'1. All Data'!$N$3:$N$129,"Not yet due")</f>
        <v>1</v>
      </c>
      <c r="K39" s="296">
        <f>J39/J43</f>
        <v>3.125E-2</v>
      </c>
      <c r="L39" s="296">
        <f>K39</f>
        <v>3.125E-2</v>
      </c>
      <c r="M39" s="297"/>
      <c r="N39" s="65"/>
      <c r="P39" s="295" t="s">
        <v>193</v>
      </c>
      <c r="Q39" s="289">
        <f>COUNTIFS('1. All Data'!$AC$3:$AC$129,"Environment &amp; Housing",'1. All Data'!$S$3:$S$129,"Not yet due")</f>
        <v>0</v>
      </c>
      <c r="R39" s="296" t="e">
        <f>Q39/Q43</f>
        <v>#DIV/0!</v>
      </c>
      <c r="S39" s="296" t="e">
        <f>R39</f>
        <v>#DIV/0!</v>
      </c>
      <c r="T39" s="297"/>
      <c r="U39" s="65"/>
      <c r="W39" s="251" t="s">
        <v>193</v>
      </c>
      <c r="X39" s="289">
        <f>COUNTIFS('1. All Data'!$AC$3:$AC$129,"Environment &amp; Housing",'1. All Data'!$W$3:$W$129,"Not yet due")</f>
        <v>0</v>
      </c>
      <c r="Y39" s="296" t="e">
        <f>X39/X43</f>
        <v>#DIV/0!</v>
      </c>
      <c r="Z39" s="296" t="e">
        <f>Y39</f>
        <v>#DIV/0!</v>
      </c>
      <c r="AA39" s="253"/>
      <c r="AB39" s="65"/>
      <c r="AC39" s="234"/>
    </row>
    <row r="40" spans="2:29" ht="15" customHeight="1">
      <c r="B40" s="295" t="s">
        <v>159</v>
      </c>
      <c r="C40" s="289">
        <f>COUNTIFS('1. All Data'!$AC$3:$AC$129,"Environment &amp; Housing",'1. All Data'!$I$3:$I$129,"Update not provided")</f>
        <v>0</v>
      </c>
      <c r="D40" s="296">
        <f>C40/C43</f>
        <v>0</v>
      </c>
      <c r="E40" s="296">
        <f>D40</f>
        <v>0</v>
      </c>
      <c r="F40" s="297"/>
      <c r="G40" s="8"/>
      <c r="I40" s="295" t="s">
        <v>159</v>
      </c>
      <c r="J40" s="289">
        <f>COUNTIFS('1. All Data'!$AC$3:$AC$129,"Environment &amp; Housing",'1. All Data'!$N$3:$N$129,"Update not provided")</f>
        <v>0</v>
      </c>
      <c r="K40" s="296">
        <f>J40/J43</f>
        <v>0</v>
      </c>
      <c r="L40" s="296">
        <f>K40</f>
        <v>0</v>
      </c>
      <c r="M40" s="297"/>
      <c r="N40" s="8"/>
      <c r="P40" s="295" t="s">
        <v>159</v>
      </c>
      <c r="Q40" s="289">
        <f>COUNTIFS('1. All Data'!$AC$3:$AC$129,"Environment &amp; Housing",'1. All Data'!$S$3:$S$129,"Update not provided")</f>
        <v>0</v>
      </c>
      <c r="R40" s="296" t="e">
        <f>Q40/Q43</f>
        <v>#DIV/0!</v>
      </c>
      <c r="S40" s="296" t="e">
        <f>R40</f>
        <v>#DIV/0!</v>
      </c>
      <c r="T40" s="297"/>
      <c r="U40" s="8"/>
      <c r="W40" s="251" t="s">
        <v>159</v>
      </c>
      <c r="X40" s="289">
        <f>COUNTIFS('1. All Data'!$AC$3:$AC$129,"Environment &amp; Housing",'1. All Data'!$W$3:$W$129,"Update not provided")</f>
        <v>0</v>
      </c>
      <c r="Y40" s="296" t="e">
        <f>X40/X43</f>
        <v>#DIV/0!</v>
      </c>
      <c r="Z40" s="296" t="e">
        <f>Y40</f>
        <v>#DIV/0!</v>
      </c>
      <c r="AA40" s="253"/>
      <c r="AB40" s="8"/>
      <c r="AC40" s="234"/>
    </row>
    <row r="41" spans="2:29" ht="15.75" customHeight="1">
      <c r="B41" s="298" t="s">
        <v>167</v>
      </c>
      <c r="C41" s="289">
        <f>COUNTIFS('1. All Data'!$AC$3:$AC$129,"Environment &amp; Housing",'1. All Data'!$I$3:$I$129,"Deferred")</f>
        <v>1</v>
      </c>
      <c r="D41" s="299">
        <f>C41/C43</f>
        <v>3.125E-2</v>
      </c>
      <c r="E41" s="299">
        <f>D41</f>
        <v>3.125E-2</v>
      </c>
      <c r="F41" s="300"/>
      <c r="G41" s="65"/>
      <c r="I41" s="298" t="s">
        <v>167</v>
      </c>
      <c r="J41" s="289">
        <f>COUNTIFS('1. All Data'!$AC$3:$AC$129,"Environment &amp; Housing",'1. All Data'!$N$3:$N$129,"Deferred")</f>
        <v>1</v>
      </c>
      <c r="K41" s="299">
        <f>J41/J43</f>
        <v>3.125E-2</v>
      </c>
      <c r="L41" s="299">
        <f>K41</f>
        <v>3.125E-2</v>
      </c>
      <c r="M41" s="300"/>
      <c r="N41" s="65"/>
      <c r="P41" s="298" t="s">
        <v>167</v>
      </c>
      <c r="Q41" s="289">
        <f>COUNTIFS('1. All Data'!$AC$3:$AC$129,"Environment &amp; Housing",'1. All Data'!$S$3:$S$129,"Deferred")</f>
        <v>0</v>
      </c>
      <c r="R41" s="299" t="e">
        <f>Q41/Q43</f>
        <v>#DIV/0!</v>
      </c>
      <c r="S41" s="299" t="e">
        <f>R41</f>
        <v>#DIV/0!</v>
      </c>
      <c r="T41" s="300"/>
      <c r="U41" s="65"/>
      <c r="W41" s="254" t="s">
        <v>167</v>
      </c>
      <c r="X41" s="289">
        <f>COUNTIFS('1. All Data'!$AC$3:$AC$129,"Environment &amp; Housing",'1. All Data'!$W$3:$W$129,"Deferred")</f>
        <v>0</v>
      </c>
      <c r="Y41" s="299" t="e">
        <f>X41/X43</f>
        <v>#DIV/0!</v>
      </c>
      <c r="Z41" s="299" t="e">
        <f>Y41</f>
        <v>#DIV/0!</v>
      </c>
      <c r="AA41" s="256"/>
      <c r="AB41" s="65"/>
      <c r="AC41" s="234"/>
    </row>
    <row r="42" spans="2:29" ht="15.75" customHeight="1">
      <c r="B42" s="298" t="s">
        <v>168</v>
      </c>
      <c r="C42" s="289">
        <f>COUNTIFS('1. All Data'!$AC$3:$AC$129,"Environment &amp; Housing",'1. All Data'!$I$3:$I$129,"Deleted")</f>
        <v>0</v>
      </c>
      <c r="D42" s="299">
        <f>C42/C43</f>
        <v>0</v>
      </c>
      <c r="E42" s="299">
        <f>D42</f>
        <v>0</v>
      </c>
      <c r="F42" s="300"/>
      <c r="G42" s="36" t="s">
        <v>194</v>
      </c>
      <c r="I42" s="298" t="s">
        <v>168</v>
      </c>
      <c r="J42" s="289">
        <f>COUNTIFS('1. All Data'!$AC$3:$AC$129,"Environment &amp; Housing",'1. All Data'!$N$3:$N$129,"Deleted")</f>
        <v>0</v>
      </c>
      <c r="K42" s="299">
        <f>J42/J43</f>
        <v>0</v>
      </c>
      <c r="L42" s="299">
        <f>K42</f>
        <v>0</v>
      </c>
      <c r="M42" s="300"/>
      <c r="N42" s="36" t="s">
        <v>194</v>
      </c>
      <c r="P42" s="298" t="s">
        <v>168</v>
      </c>
      <c r="Q42" s="289">
        <f>COUNTIFS('1. All Data'!$AC$3:$AC$129,"Environment &amp; Housing",'1. All Data'!$S$3:$S$129,"Deleted")</f>
        <v>0</v>
      </c>
      <c r="R42" s="299" t="e">
        <f>Q42/Q43</f>
        <v>#DIV/0!</v>
      </c>
      <c r="S42" s="299" t="e">
        <f>R42</f>
        <v>#DIV/0!</v>
      </c>
      <c r="T42" s="300"/>
      <c r="U42" s="36" t="s">
        <v>194</v>
      </c>
      <c r="W42" s="254" t="s">
        <v>168</v>
      </c>
      <c r="X42" s="289">
        <f>COUNTIFS('1. All Data'!$AC$3:$AC$129,"Environment &amp; Housing",'1. All Data'!$W$3:$W$129,"Deleted")</f>
        <v>0</v>
      </c>
      <c r="Y42" s="299" t="e">
        <f>X42/X43</f>
        <v>#DIV/0!</v>
      </c>
      <c r="Z42" s="299" t="e">
        <f>Y42</f>
        <v>#DIV/0!</v>
      </c>
      <c r="AA42" s="256"/>
      <c r="AB42" s="9" t="s">
        <v>194</v>
      </c>
      <c r="AC42" s="234"/>
    </row>
    <row r="43" spans="2:29" ht="15.75" customHeight="1">
      <c r="B43" s="301" t="s">
        <v>195</v>
      </c>
      <c r="C43" s="302">
        <f>SUM(C29:C42)</f>
        <v>32</v>
      </c>
      <c r="D43" s="256"/>
      <c r="E43" s="256"/>
      <c r="F43" s="303"/>
      <c r="G43" s="65"/>
      <c r="I43" s="301" t="s">
        <v>195</v>
      </c>
      <c r="J43" s="302">
        <f>SUM(J29:J42)</f>
        <v>32</v>
      </c>
      <c r="K43" s="256"/>
      <c r="L43" s="256"/>
      <c r="M43" s="303"/>
      <c r="N43" s="65"/>
      <c r="P43" s="301" t="s">
        <v>195</v>
      </c>
      <c r="Q43" s="302">
        <f>SUM(Q29:Q42)</f>
        <v>0</v>
      </c>
      <c r="R43" s="256"/>
      <c r="S43" s="256"/>
      <c r="T43" s="303"/>
      <c r="U43" s="65"/>
      <c r="W43" s="257" t="s">
        <v>195</v>
      </c>
      <c r="X43" s="302">
        <f>SUM(X29:X42)</f>
        <v>0</v>
      </c>
      <c r="Y43" s="256"/>
      <c r="Z43" s="256"/>
      <c r="AA43" s="65"/>
      <c r="AB43" s="65"/>
      <c r="AC43" s="234"/>
    </row>
    <row r="44" spans="2:29" ht="15.75" customHeight="1">
      <c r="B44" s="301" t="s">
        <v>196</v>
      </c>
      <c r="C44" s="302">
        <f>C43-C42-C41-C40-C39</f>
        <v>24</v>
      </c>
      <c r="D44" s="65"/>
      <c r="E44" s="65"/>
      <c r="F44" s="303"/>
      <c r="G44" s="65"/>
      <c r="I44" s="301" t="s">
        <v>196</v>
      </c>
      <c r="J44" s="302">
        <f>J43-J42-J41-J40-J39</f>
        <v>30</v>
      </c>
      <c r="K44" s="65"/>
      <c r="L44" s="65"/>
      <c r="M44" s="303"/>
      <c r="N44" s="65"/>
      <c r="P44" s="301" t="s">
        <v>196</v>
      </c>
      <c r="Q44" s="302">
        <f>Q43-Q42-Q41-Q40-Q39</f>
        <v>0</v>
      </c>
      <c r="R44" s="65"/>
      <c r="S44" s="65"/>
      <c r="T44" s="303"/>
      <c r="U44" s="65"/>
      <c r="W44" s="257" t="s">
        <v>196</v>
      </c>
      <c r="X44" s="302">
        <f>X43-X42-X41-X40-X39</f>
        <v>0</v>
      </c>
      <c r="Y44" s="65"/>
      <c r="Z44" s="65"/>
      <c r="AA44" s="65"/>
      <c r="AB44" s="65"/>
      <c r="AC44" s="234"/>
    </row>
    <row r="45" spans="2:29" ht="15.75" customHeight="1">
      <c r="W45" s="259"/>
      <c r="AA45" s="8"/>
      <c r="AC45" s="234"/>
    </row>
    <row r="46" spans="2:29" ht="15.75" customHeight="1">
      <c r="W46" s="233"/>
      <c r="X46" s="233"/>
      <c r="Y46" s="233"/>
      <c r="Z46" s="233"/>
      <c r="AA46" s="233"/>
      <c r="AB46" s="266"/>
      <c r="AC46" s="234"/>
    </row>
    <row r="47" spans="2:29" s="234" customFormat="1" ht="15.75" customHeight="1">
      <c r="B47" s="267"/>
      <c r="C47" s="233"/>
      <c r="D47" s="233"/>
      <c r="E47" s="233"/>
      <c r="F47" s="303"/>
      <c r="G47" s="233"/>
      <c r="I47" s="267"/>
      <c r="J47" s="233"/>
      <c r="K47" s="233"/>
      <c r="L47" s="233"/>
      <c r="M47" s="303"/>
      <c r="N47" s="233"/>
      <c r="P47" s="267"/>
      <c r="Q47" s="233"/>
      <c r="R47" s="233"/>
      <c r="S47" s="233"/>
      <c r="T47" s="303"/>
      <c r="U47" s="233"/>
      <c r="W47" s="304"/>
      <c r="X47" s="65"/>
      <c r="Y47" s="65"/>
      <c r="Z47" s="65"/>
      <c r="AA47" s="65"/>
      <c r="AB47" s="256"/>
    </row>
    <row r="48" spans="2:29" s="234" customFormat="1" ht="15.75" customHeight="1">
      <c r="B48" s="283" t="s">
        <v>218</v>
      </c>
      <c r="C48" s="284"/>
      <c r="D48" s="284"/>
      <c r="E48" s="284"/>
      <c r="F48" s="285"/>
      <c r="G48" s="284"/>
      <c r="I48" s="283" t="s">
        <v>218</v>
      </c>
      <c r="J48" s="284"/>
      <c r="K48" s="284"/>
      <c r="L48" s="284"/>
      <c r="M48" s="285"/>
      <c r="N48" s="284"/>
      <c r="P48" s="283" t="s">
        <v>218</v>
      </c>
      <c r="Q48" s="284"/>
      <c r="R48" s="284"/>
      <c r="S48" s="284"/>
      <c r="T48" s="285"/>
      <c r="U48" s="284"/>
      <c r="W48" s="283" t="s">
        <v>218</v>
      </c>
      <c r="X48" s="284"/>
      <c r="Y48" s="284"/>
      <c r="Z48" s="284"/>
      <c r="AA48" s="285"/>
      <c r="AB48" s="284"/>
    </row>
    <row r="49" spans="2:29" ht="36" customHeight="1">
      <c r="B49" s="286" t="s">
        <v>186</v>
      </c>
      <c r="C49" s="287" t="s">
        <v>187</v>
      </c>
      <c r="D49" s="287" t="s">
        <v>188</v>
      </c>
      <c r="E49" s="287" t="s">
        <v>189</v>
      </c>
      <c r="F49" s="286" t="s">
        <v>190</v>
      </c>
      <c r="G49" s="287" t="s">
        <v>191</v>
      </c>
      <c r="I49" s="286" t="s">
        <v>186</v>
      </c>
      <c r="J49" s="287" t="s">
        <v>187</v>
      </c>
      <c r="K49" s="287" t="s">
        <v>188</v>
      </c>
      <c r="L49" s="287" t="s">
        <v>189</v>
      </c>
      <c r="M49" s="286" t="s">
        <v>190</v>
      </c>
      <c r="N49" s="287" t="s">
        <v>191</v>
      </c>
      <c r="P49" s="286" t="s">
        <v>186</v>
      </c>
      <c r="Q49" s="287" t="s">
        <v>187</v>
      </c>
      <c r="R49" s="287" t="s">
        <v>188</v>
      </c>
      <c r="S49" s="287" t="s">
        <v>189</v>
      </c>
      <c r="T49" s="286" t="s">
        <v>190</v>
      </c>
      <c r="U49" s="287" t="s">
        <v>191</v>
      </c>
      <c r="W49" s="230" t="s">
        <v>186</v>
      </c>
      <c r="X49" s="230" t="s">
        <v>187</v>
      </c>
      <c r="Y49" s="230" t="s">
        <v>188</v>
      </c>
      <c r="Z49" s="230" t="s">
        <v>189</v>
      </c>
      <c r="AA49" s="230" t="s">
        <v>190</v>
      </c>
      <c r="AB49" s="230" t="s">
        <v>191</v>
      </c>
      <c r="AC49" s="234"/>
    </row>
    <row r="50" spans="2:29" s="234" customFormat="1" ht="7.5" customHeight="1">
      <c r="B50" s="231"/>
      <c r="C50" s="232"/>
      <c r="D50" s="232"/>
      <c r="E50" s="232"/>
      <c r="F50" s="231"/>
      <c r="G50" s="232"/>
      <c r="I50" s="231"/>
      <c r="J50" s="232"/>
      <c r="K50" s="232"/>
      <c r="L50" s="232"/>
      <c r="M50" s="231"/>
      <c r="N50" s="232"/>
      <c r="P50" s="231"/>
      <c r="Q50" s="232"/>
      <c r="R50" s="232"/>
      <c r="S50" s="232"/>
      <c r="T50" s="231"/>
      <c r="U50" s="232"/>
      <c r="W50" s="231"/>
      <c r="X50" s="232"/>
      <c r="Y50" s="232"/>
      <c r="Z50" s="232"/>
      <c r="AA50" s="232"/>
      <c r="AB50" s="232"/>
    </row>
    <row r="51" spans="2:29" ht="18.75" customHeight="1">
      <c r="B51" s="288" t="s">
        <v>192</v>
      </c>
      <c r="C51" s="289">
        <f>COUNTIFS('1. All Data'!$AC$3:$AC$129,"Leisure, Culture &amp; Tourism",'1. All Data'!$I$3:$I$129,"Fully Achieved")</f>
        <v>1</v>
      </c>
      <c r="D51" s="290">
        <f>C51/C65</f>
        <v>5.2631578947368418E-2</v>
      </c>
      <c r="E51" s="432">
        <f>D51+D52</f>
        <v>0.31578947368421051</v>
      </c>
      <c r="F51" s="291">
        <f>C51/C66</f>
        <v>0.1111111111111111</v>
      </c>
      <c r="G51" s="437">
        <f>F51+F52</f>
        <v>0.66666666666666674</v>
      </c>
      <c r="I51" s="288" t="s">
        <v>192</v>
      </c>
      <c r="J51" s="289">
        <f>COUNTIFS('1. All Data'!$AC$3:$AC$129,"Leisure, Culture &amp; Tourism",'1. All Data'!$N$3:$N$129,"Fully Achieved")</f>
        <v>2</v>
      </c>
      <c r="K51" s="290">
        <f>J51/J65</f>
        <v>0.10526315789473684</v>
      </c>
      <c r="L51" s="432">
        <f>K51+K52</f>
        <v>0.31578947368421051</v>
      </c>
      <c r="M51" s="291">
        <f>J51/J66</f>
        <v>0.25</v>
      </c>
      <c r="N51" s="437">
        <f>M51+M52</f>
        <v>0.75</v>
      </c>
      <c r="P51" s="288" t="s">
        <v>192</v>
      </c>
      <c r="Q51" s="289">
        <f>COUNTIFS('1. All Data'!$AC$3:$AC$129,"Leisure, Culture &amp; Tourism",'1. All Data'!$S$3:$S$129,"Fully Achieved")</f>
        <v>0</v>
      </c>
      <c r="R51" s="290" t="e">
        <f>Q51/Q65</f>
        <v>#DIV/0!</v>
      </c>
      <c r="S51" s="432" t="e">
        <f>R51+R52</f>
        <v>#DIV/0!</v>
      </c>
      <c r="T51" s="291" t="e">
        <f>Q51/Q66</f>
        <v>#DIV/0!</v>
      </c>
      <c r="U51" s="437" t="e">
        <f>T51+T52</f>
        <v>#DIV/0!</v>
      </c>
      <c r="W51" s="235" t="s">
        <v>192</v>
      </c>
      <c r="X51" s="289">
        <f>COUNTIFS('1. All Data'!$AC$3:$AC$129,"Leisure, Culture &amp; Tourism",'1. All Data'!$W$3:$W$129,"Fully Achieved")</f>
        <v>0</v>
      </c>
      <c r="Y51" s="290" t="e">
        <f>X51/X65</f>
        <v>#DIV/0!</v>
      </c>
      <c r="Z51" s="432" t="e">
        <f>Y51+Y52</f>
        <v>#DIV/0!</v>
      </c>
      <c r="AA51" s="290" t="e">
        <f>X51/X66</f>
        <v>#DIV/0!</v>
      </c>
      <c r="AB51" s="410" t="e">
        <f>AA51+AA52</f>
        <v>#DIV/0!</v>
      </c>
      <c r="AC51" s="234"/>
    </row>
    <row r="52" spans="2:29" ht="18.75" customHeight="1">
      <c r="B52" s="288" t="s">
        <v>169</v>
      </c>
      <c r="C52" s="289">
        <f>COUNTIFS('1. All Data'!$AC$3:$AC$129,"Leisure, Culture &amp; Tourism",'1. All Data'!$I$3:$I$129,"On Track to be Achieved")</f>
        <v>5</v>
      </c>
      <c r="D52" s="290">
        <f>C52/C65</f>
        <v>0.26315789473684209</v>
      </c>
      <c r="E52" s="432"/>
      <c r="F52" s="291">
        <f>C52/C66</f>
        <v>0.55555555555555558</v>
      </c>
      <c r="G52" s="437"/>
      <c r="I52" s="288" t="s">
        <v>169</v>
      </c>
      <c r="J52" s="289">
        <f>COUNTIFS('1. All Data'!$AC$3:$AC$129,"Leisure, Culture &amp; Tourism",'1. All Data'!$N$3:$N$129,"On Track to be Achieved")</f>
        <v>4</v>
      </c>
      <c r="K52" s="290">
        <f>J52/J65</f>
        <v>0.21052631578947367</v>
      </c>
      <c r="L52" s="432"/>
      <c r="M52" s="291">
        <f>J52/J66</f>
        <v>0.5</v>
      </c>
      <c r="N52" s="437"/>
      <c r="P52" s="288" t="s">
        <v>169</v>
      </c>
      <c r="Q52" s="289">
        <f>COUNTIFS('1. All Data'!$AC$3:$AC$129,"Leisure, Culture &amp; Tourism",'1. All Data'!$S$3:$S$129,"On Track to be Achieved")</f>
        <v>0</v>
      </c>
      <c r="R52" s="290" t="e">
        <f>Q52/Q65</f>
        <v>#DIV/0!</v>
      </c>
      <c r="S52" s="432"/>
      <c r="T52" s="291" t="e">
        <f>Q52/Q66</f>
        <v>#DIV/0!</v>
      </c>
      <c r="U52" s="437"/>
      <c r="W52" s="235" t="s">
        <v>161</v>
      </c>
      <c r="X52" s="289">
        <f>COUNTIFS('1. All Data'!$AC$3:$AC$129,"Leisure, Culture &amp; Tourism",'1. All Data'!$W$3:$W$129,"Numerical Outturn Within 5% Tolerance")</f>
        <v>0</v>
      </c>
      <c r="Y52" s="290" t="e">
        <f>X52/X65</f>
        <v>#DIV/0!</v>
      </c>
      <c r="Z52" s="432"/>
      <c r="AA52" s="290" t="e">
        <f>X52/X66</f>
        <v>#DIV/0!</v>
      </c>
      <c r="AB52" s="410"/>
      <c r="AC52" s="234"/>
    </row>
    <row r="53" spans="2:29" s="234" customFormat="1" ht="6.75" customHeight="1">
      <c r="B53" s="231"/>
      <c r="C53" s="249"/>
      <c r="D53" s="246"/>
      <c r="E53" s="246"/>
      <c r="F53" s="292"/>
      <c r="G53" s="247"/>
      <c r="I53" s="231"/>
      <c r="J53" s="249"/>
      <c r="K53" s="246"/>
      <c r="L53" s="246"/>
      <c r="M53" s="292"/>
      <c r="N53" s="247"/>
      <c r="P53" s="231"/>
      <c r="Q53" s="249"/>
      <c r="R53" s="246"/>
      <c r="S53" s="246"/>
      <c r="T53" s="292"/>
      <c r="U53" s="247"/>
      <c r="W53" s="238"/>
      <c r="X53" s="239"/>
      <c r="Y53" s="240"/>
      <c r="Z53" s="240"/>
      <c r="AA53" s="240"/>
      <c r="AB53" s="241"/>
    </row>
    <row r="54" spans="2:29" ht="16.5" customHeight="1">
      <c r="B54" s="426" t="s">
        <v>170</v>
      </c>
      <c r="C54" s="429">
        <f>COUNTIFS('1. All Data'!$AC$3:$AC$129,"Leisure, Culture &amp; Tourism",'1. All Data'!$I$3:$I$129,"In Danger of Falling Behind Target")</f>
        <v>2</v>
      </c>
      <c r="D54" s="434">
        <f>C54/C65</f>
        <v>0.10526315789473684</v>
      </c>
      <c r="E54" s="434">
        <f>D54</f>
        <v>0.10526315789473684</v>
      </c>
      <c r="F54" s="420">
        <f>C54/C66</f>
        <v>0.22222222222222221</v>
      </c>
      <c r="G54" s="423">
        <f>F54</f>
        <v>0.22222222222222221</v>
      </c>
      <c r="I54" s="426" t="s">
        <v>170</v>
      </c>
      <c r="J54" s="429">
        <f>COUNTIFS('1. All Data'!$AC$3:$AC$129,"Leisure, Culture &amp; Tourism",'1. All Data'!$N$3:$N$129,"In Danger of Falling Behind Target")</f>
        <v>1</v>
      </c>
      <c r="K54" s="434">
        <f>J54/J65</f>
        <v>5.2631578947368418E-2</v>
      </c>
      <c r="L54" s="434">
        <f>K54</f>
        <v>5.2631578947368418E-2</v>
      </c>
      <c r="M54" s="420">
        <f>J54/J66</f>
        <v>0.125</v>
      </c>
      <c r="N54" s="423">
        <f>M54</f>
        <v>0.125</v>
      </c>
      <c r="P54" s="426" t="s">
        <v>170</v>
      </c>
      <c r="Q54" s="429">
        <f>COUNTIFS('1. All Data'!$AC$3:$AC$129,"Leisure, Culture &amp; Tourism",'1. All Data'!$S$3:$S$129,"In Danger of Falling Behind Target")</f>
        <v>0</v>
      </c>
      <c r="R54" s="434" t="e">
        <f>Q54/Q65</f>
        <v>#DIV/0!</v>
      </c>
      <c r="S54" s="434" t="e">
        <f>R54</f>
        <v>#DIV/0!</v>
      </c>
      <c r="T54" s="420" t="e">
        <f>Q54/Q66</f>
        <v>#DIV/0!</v>
      </c>
      <c r="U54" s="423" t="e">
        <f>T54</f>
        <v>#DIV/0!</v>
      </c>
      <c r="W54" s="244" t="s">
        <v>162</v>
      </c>
      <c r="X54" s="245">
        <f>COUNTIFS('1. All Data'!$AC$3:$AC$129,"Leisure, Culture &amp; Tourism",'1. All Data'!$W$3:$W$129,"Numerical Outturn Within 10% Tolerance")</f>
        <v>0</v>
      </c>
      <c r="Y54" s="237" t="e">
        <f>X54/X65</f>
        <v>#DIV/0!</v>
      </c>
      <c r="Z54" s="395" t="e">
        <f>SUM(Y54:Y56)</f>
        <v>#DIV/0!</v>
      </c>
      <c r="AA54" s="237" t="e">
        <f>X54/X66</f>
        <v>#DIV/0!</v>
      </c>
      <c r="AB54" s="396" t="e">
        <f>SUM(AA54:AA56)</f>
        <v>#DIV/0!</v>
      </c>
      <c r="AC54" s="234"/>
    </row>
    <row r="55" spans="2:29" ht="16.5" customHeight="1">
      <c r="B55" s="427"/>
      <c r="C55" s="430"/>
      <c r="D55" s="435"/>
      <c r="E55" s="435"/>
      <c r="F55" s="421"/>
      <c r="G55" s="424"/>
      <c r="I55" s="427"/>
      <c r="J55" s="430"/>
      <c r="K55" s="435"/>
      <c r="L55" s="435"/>
      <c r="M55" s="421"/>
      <c r="N55" s="424"/>
      <c r="P55" s="427"/>
      <c r="Q55" s="430"/>
      <c r="R55" s="435"/>
      <c r="S55" s="435"/>
      <c r="T55" s="421"/>
      <c r="U55" s="424"/>
      <c r="W55" s="244" t="s">
        <v>163</v>
      </c>
      <c r="X55" s="245">
        <f>COUNTIFS('1. All Data'!$AC$3:$AC$129,"Leisure, Culture &amp; Tourism",'1. All Data'!$W$3:$W$129,"Target Partially Met")</f>
        <v>0</v>
      </c>
      <c r="Y55" s="237" t="e">
        <f>X55/X65</f>
        <v>#DIV/0!</v>
      </c>
      <c r="Z55" s="395"/>
      <c r="AA55" s="237" t="e">
        <f>X55/X66</f>
        <v>#DIV/0!</v>
      </c>
      <c r="AB55" s="396"/>
      <c r="AC55" s="234"/>
    </row>
    <row r="56" spans="2:29" ht="16.5" customHeight="1">
      <c r="B56" s="428"/>
      <c r="C56" s="431"/>
      <c r="D56" s="436"/>
      <c r="E56" s="436"/>
      <c r="F56" s="422"/>
      <c r="G56" s="425"/>
      <c r="I56" s="428"/>
      <c r="J56" s="431"/>
      <c r="K56" s="436"/>
      <c r="L56" s="436"/>
      <c r="M56" s="422"/>
      <c r="N56" s="425"/>
      <c r="P56" s="428"/>
      <c r="Q56" s="431"/>
      <c r="R56" s="436"/>
      <c r="S56" s="436"/>
      <c r="T56" s="422"/>
      <c r="U56" s="425"/>
      <c r="W56" s="244" t="s">
        <v>166</v>
      </c>
      <c r="X56" s="245">
        <f>COUNTIFS('1. All Data'!$AC$3:$AC$129,"Leisure, Culture &amp; Tourism",'1. All Data'!$W$3:$W$129,"Completion Date Within Reasonable Tolerance")</f>
        <v>0</v>
      </c>
      <c r="Y56" s="237" t="e">
        <f>X56/X65</f>
        <v>#DIV/0!</v>
      </c>
      <c r="Z56" s="395"/>
      <c r="AA56" s="237" t="e">
        <f>X56/X66</f>
        <v>#DIV/0!</v>
      </c>
      <c r="AB56" s="396"/>
      <c r="AC56" s="234"/>
    </row>
    <row r="57" spans="2:29" s="234" customFormat="1" ht="6" customHeight="1">
      <c r="B57" s="231"/>
      <c r="C57" s="232"/>
      <c r="D57" s="246"/>
      <c r="E57" s="246"/>
      <c r="F57" s="292"/>
      <c r="G57" s="247"/>
      <c r="I57" s="231"/>
      <c r="J57" s="232"/>
      <c r="K57" s="246"/>
      <c r="L57" s="246"/>
      <c r="M57" s="292"/>
      <c r="N57" s="247"/>
      <c r="P57" s="231"/>
      <c r="Q57" s="232"/>
      <c r="R57" s="246"/>
      <c r="S57" s="246"/>
      <c r="T57" s="292"/>
      <c r="U57" s="247"/>
      <c r="W57" s="231"/>
      <c r="X57" s="232"/>
      <c r="Y57" s="246"/>
      <c r="Z57" s="246"/>
      <c r="AA57" s="246"/>
      <c r="AB57" s="247"/>
    </row>
    <row r="58" spans="2:29" ht="22.5" customHeight="1">
      <c r="B58" s="293" t="s">
        <v>171</v>
      </c>
      <c r="C58" s="289">
        <f>COUNTIFS('1. All Data'!$AC$3:$AC$129,"Leisure, Culture &amp; Tourism",'1. All Data'!$I$3:$I$129,"Completed Behind Schedule")</f>
        <v>1</v>
      </c>
      <c r="D58" s="290">
        <f>C58/C65</f>
        <v>5.2631578947368418E-2</v>
      </c>
      <c r="E58" s="432">
        <f>D58+D59</f>
        <v>5.2631578947368418E-2</v>
      </c>
      <c r="F58" s="291">
        <f>C58/C66</f>
        <v>0.1111111111111111</v>
      </c>
      <c r="G58" s="433">
        <f>F58+F59</f>
        <v>0.1111111111111111</v>
      </c>
      <c r="I58" s="293" t="s">
        <v>171</v>
      </c>
      <c r="J58" s="289">
        <f>COUNTIFS('1. All Data'!$AC$3:$AC$129,"Leisure, Culture &amp; Tourism",'1. All Data'!$N$3:$N$129,"Completed Behind Schedule")</f>
        <v>1</v>
      </c>
      <c r="K58" s="290">
        <f>J58/J65</f>
        <v>5.2631578947368418E-2</v>
      </c>
      <c r="L58" s="432">
        <f>K58+K59</f>
        <v>5.2631578947368418E-2</v>
      </c>
      <c r="M58" s="291">
        <f>J58/J66</f>
        <v>0.125</v>
      </c>
      <c r="N58" s="433">
        <f>M58+M59</f>
        <v>0.125</v>
      </c>
      <c r="P58" s="293" t="s">
        <v>171</v>
      </c>
      <c r="Q58" s="289">
        <f>COUNTIFS('1. All Data'!$AC$3:$AC$129,"Leisure, Culture &amp; Tourism",'1. All Data'!$S$3:$S$129,"Completed Behind Schedule")</f>
        <v>0</v>
      </c>
      <c r="R58" s="290" t="e">
        <f>Q58/Q65</f>
        <v>#DIV/0!</v>
      </c>
      <c r="S58" s="432" t="e">
        <f>R58+R59</f>
        <v>#DIV/0!</v>
      </c>
      <c r="T58" s="291" t="e">
        <f>Q58/Q66</f>
        <v>#DIV/0!</v>
      </c>
      <c r="U58" s="433" t="e">
        <f>T58+T59</f>
        <v>#DIV/0!</v>
      </c>
      <c r="W58" s="248" t="s">
        <v>165</v>
      </c>
      <c r="X58" s="289">
        <f>COUNTIFS('1. All Data'!$AC$3:$AC$129,"Leisure, Culture &amp; Tourism",'1. All Data'!$W$3:$W$129,"Completed Significantly After Target Deadline")</f>
        <v>0</v>
      </c>
      <c r="Y58" s="290" t="e">
        <f>X58/X65</f>
        <v>#DIV/0!</v>
      </c>
      <c r="Z58" s="432" t="e">
        <f>Y58+Y59</f>
        <v>#DIV/0!</v>
      </c>
      <c r="AA58" s="290" t="e">
        <f>X58/X66</f>
        <v>#DIV/0!</v>
      </c>
      <c r="AB58" s="397" t="e">
        <f>AA58+AA59</f>
        <v>#DIV/0!</v>
      </c>
      <c r="AC58" s="234"/>
    </row>
    <row r="59" spans="2:29" ht="22.5" customHeight="1">
      <c r="B59" s="293" t="s">
        <v>164</v>
      </c>
      <c r="C59" s="289">
        <f>COUNTIFS('1. All Data'!$AC$3:$AC$129,"Leisure, Culture &amp; Tourism",'1. All Data'!$I$3:$I$129,"Off Target")</f>
        <v>0</v>
      </c>
      <c r="D59" s="290">
        <f>C59/C65</f>
        <v>0</v>
      </c>
      <c r="E59" s="432"/>
      <c r="F59" s="291">
        <f>C59/C66</f>
        <v>0</v>
      </c>
      <c r="G59" s="433"/>
      <c r="I59" s="293" t="s">
        <v>164</v>
      </c>
      <c r="J59" s="289">
        <f>COUNTIFS('1. All Data'!$AC$3:$AC$129,"Leisure, Culture &amp; Tourism",'1. All Data'!$N$3:$N$129,"Off Target")</f>
        <v>0</v>
      </c>
      <c r="K59" s="290">
        <f>J59/J65</f>
        <v>0</v>
      </c>
      <c r="L59" s="432"/>
      <c r="M59" s="291">
        <f>J59/J66</f>
        <v>0</v>
      </c>
      <c r="N59" s="433"/>
      <c r="P59" s="293" t="s">
        <v>164</v>
      </c>
      <c r="Q59" s="289">
        <f>COUNTIFS('1. All Data'!$AC$3:$AC$129,"Leisure, Culture &amp; Tourism",'1. All Data'!$S$3:$S$129,"Off Target")</f>
        <v>0</v>
      </c>
      <c r="R59" s="290" t="e">
        <f>Q59/Q65</f>
        <v>#DIV/0!</v>
      </c>
      <c r="S59" s="432"/>
      <c r="T59" s="291" t="e">
        <f>Q59/Q66</f>
        <v>#DIV/0!</v>
      </c>
      <c r="U59" s="433"/>
      <c r="W59" s="248" t="s">
        <v>164</v>
      </c>
      <c r="X59" s="289">
        <f>COUNTIFS('1. All Data'!$AC$3:$AC$129,"Leisure, Culture &amp; Tourism",'1. All Data'!$W$3:$W$129,"Off Target")</f>
        <v>0</v>
      </c>
      <c r="Y59" s="290" t="e">
        <f>X59/X65</f>
        <v>#DIV/0!</v>
      </c>
      <c r="Z59" s="432"/>
      <c r="AA59" s="290" t="e">
        <f>X59/X66</f>
        <v>#DIV/0!</v>
      </c>
      <c r="AB59" s="397"/>
      <c r="AC59" s="234"/>
    </row>
    <row r="60" spans="2:29" s="234" customFormat="1" ht="6.75" customHeight="1">
      <c r="B60" s="231"/>
      <c r="C60" s="249"/>
      <c r="D60" s="246"/>
      <c r="E60" s="246"/>
      <c r="F60" s="292"/>
      <c r="G60" s="250"/>
      <c r="I60" s="231"/>
      <c r="J60" s="249"/>
      <c r="K60" s="246"/>
      <c r="L60" s="246"/>
      <c r="M60" s="292"/>
      <c r="N60" s="250"/>
      <c r="P60" s="231"/>
      <c r="Q60" s="249"/>
      <c r="R60" s="246"/>
      <c r="S60" s="246"/>
      <c r="T60" s="292"/>
      <c r="U60" s="250"/>
      <c r="W60" s="231"/>
      <c r="X60" s="249"/>
      <c r="Y60" s="246"/>
      <c r="Z60" s="246"/>
      <c r="AA60" s="246"/>
      <c r="AB60" s="250"/>
    </row>
    <row r="61" spans="2:29" ht="15.75" customHeight="1">
      <c r="B61" s="295" t="s">
        <v>193</v>
      </c>
      <c r="C61" s="289">
        <f>COUNTIFS('1. All Data'!$AC$3:$AC$129,"Leisure, Culture &amp; Tourism",'1. All Data'!$I$3:$I$129,"Not yet due")</f>
        <v>5</v>
      </c>
      <c r="D61" s="296">
        <f>C61/C65</f>
        <v>0.26315789473684209</v>
      </c>
      <c r="E61" s="296">
        <f>D61</f>
        <v>0.26315789473684209</v>
      </c>
      <c r="F61" s="297"/>
      <c r="G61" s="65"/>
      <c r="I61" s="295" t="s">
        <v>193</v>
      </c>
      <c r="J61" s="289">
        <f>COUNTIFS('1. All Data'!$AC$3:$AC$129,"Leisure, Culture &amp; Tourism",'1. All Data'!$N$3:$N$129,"Not yet due")</f>
        <v>6</v>
      </c>
      <c r="K61" s="296">
        <f>J61/J65</f>
        <v>0.31578947368421051</v>
      </c>
      <c r="L61" s="296">
        <f>K61</f>
        <v>0.31578947368421051</v>
      </c>
      <c r="M61" s="297"/>
      <c r="N61" s="65"/>
      <c r="P61" s="295" t="s">
        <v>193</v>
      </c>
      <c r="Q61" s="289">
        <f>COUNTIFS('1. All Data'!$AC$3:$AC$129,"Leisure, Culture &amp; Tourism",'1. All Data'!$S$3:$S$129,"Not yet due")</f>
        <v>0</v>
      </c>
      <c r="R61" s="296" t="e">
        <f>Q61/Q65</f>
        <v>#DIV/0!</v>
      </c>
      <c r="S61" s="296" t="e">
        <f>R61</f>
        <v>#DIV/0!</v>
      </c>
      <c r="T61" s="297"/>
      <c r="U61" s="65"/>
      <c r="W61" s="251" t="s">
        <v>193</v>
      </c>
      <c r="X61" s="289">
        <f>COUNTIFS('1. All Data'!$AC$3:$AC$129,"Leisure, Culture &amp; Tourism",'1. All Data'!$W$3:$W$129,"Not yet due")</f>
        <v>0</v>
      </c>
      <c r="Y61" s="296" t="e">
        <f>X61/X65</f>
        <v>#DIV/0!</v>
      </c>
      <c r="Z61" s="296" t="e">
        <f>Y61</f>
        <v>#DIV/0!</v>
      </c>
      <c r="AA61" s="253"/>
      <c r="AB61" s="65"/>
      <c r="AC61" s="234"/>
    </row>
    <row r="62" spans="2:29" ht="15.75" customHeight="1">
      <c r="B62" s="295" t="s">
        <v>159</v>
      </c>
      <c r="C62" s="289">
        <f>COUNTIFS('1. All Data'!$AC$3:$AC$129,"Leisure, Culture &amp; Tourism",'1. All Data'!$I$3:$I$129,"Update not provided")</f>
        <v>0</v>
      </c>
      <c r="D62" s="296">
        <f>C62/C65</f>
        <v>0</v>
      </c>
      <c r="E62" s="296">
        <f>D62</f>
        <v>0</v>
      </c>
      <c r="F62" s="297"/>
      <c r="G62" s="8"/>
      <c r="I62" s="295" t="s">
        <v>159</v>
      </c>
      <c r="J62" s="289">
        <f>COUNTIFS('1. All Data'!$AC$3:$AC$129,"Leisure, Culture &amp; Tourism",'1. All Data'!$N$3:$N$129,"Update not provided")</f>
        <v>0</v>
      </c>
      <c r="K62" s="296">
        <f>J62/J65</f>
        <v>0</v>
      </c>
      <c r="L62" s="296">
        <f>K62</f>
        <v>0</v>
      </c>
      <c r="M62" s="297"/>
      <c r="N62" s="8"/>
      <c r="P62" s="295" t="s">
        <v>159</v>
      </c>
      <c r="Q62" s="289">
        <f>COUNTIFS('1. All Data'!$AC$3:$AC$129,"Leisure, Culture &amp; Tourism",'1. All Data'!$S$3:$S$129,"Update not provided")</f>
        <v>0</v>
      </c>
      <c r="R62" s="296" t="e">
        <f>Q62/Q65</f>
        <v>#DIV/0!</v>
      </c>
      <c r="S62" s="296" t="e">
        <f>R62</f>
        <v>#DIV/0!</v>
      </c>
      <c r="T62" s="297"/>
      <c r="U62" s="8"/>
      <c r="W62" s="251" t="s">
        <v>159</v>
      </c>
      <c r="X62" s="289">
        <f>COUNTIFS('1. All Data'!$AC$3:$AC$129,"Leisure, Culture &amp; Tourism",'1. All Data'!$W$3:$W$129,"Update not provided")</f>
        <v>0</v>
      </c>
      <c r="Y62" s="296" t="e">
        <f>X62/X65</f>
        <v>#DIV/0!</v>
      </c>
      <c r="Z62" s="296" t="e">
        <f>Y62</f>
        <v>#DIV/0!</v>
      </c>
      <c r="AA62" s="253"/>
      <c r="AB62" s="8"/>
      <c r="AC62" s="234"/>
    </row>
    <row r="63" spans="2:29" ht="15.75" customHeight="1">
      <c r="B63" s="298" t="s">
        <v>167</v>
      </c>
      <c r="C63" s="289">
        <f>COUNTIFS('1. All Data'!$AC$3:$AC$129,"Leisure, Culture &amp; Tourism",'1. All Data'!$I$3:$I$129,"Deferred")</f>
        <v>5</v>
      </c>
      <c r="D63" s="299">
        <f>C63/C65</f>
        <v>0.26315789473684209</v>
      </c>
      <c r="E63" s="299">
        <f>D63</f>
        <v>0.26315789473684209</v>
      </c>
      <c r="F63" s="300"/>
      <c r="G63" s="65"/>
      <c r="I63" s="298" t="s">
        <v>167</v>
      </c>
      <c r="J63" s="289">
        <f>COUNTIFS('1. All Data'!$AC$3:$AC$129,"Leisure, Culture &amp; Tourism",'1. All Data'!$N$3:$N$129,"Deferred")</f>
        <v>5</v>
      </c>
      <c r="K63" s="299">
        <f>J63/J65</f>
        <v>0.26315789473684209</v>
      </c>
      <c r="L63" s="299">
        <f>K63</f>
        <v>0.26315789473684209</v>
      </c>
      <c r="M63" s="300"/>
      <c r="N63" s="65"/>
      <c r="P63" s="298" t="s">
        <v>167</v>
      </c>
      <c r="Q63" s="289">
        <f>COUNTIFS('1. All Data'!$AC$3:$AC$129,"Leisure, Culture &amp; Tourism",'1. All Data'!$S$3:$S$129,"Deferred")</f>
        <v>0</v>
      </c>
      <c r="R63" s="299" t="e">
        <f>Q63/Q65</f>
        <v>#DIV/0!</v>
      </c>
      <c r="S63" s="299" t="e">
        <f>R63</f>
        <v>#DIV/0!</v>
      </c>
      <c r="T63" s="300"/>
      <c r="U63" s="65"/>
      <c r="W63" s="254" t="s">
        <v>167</v>
      </c>
      <c r="X63" s="289">
        <f>COUNTIFS('1. All Data'!$AC$3:$AC$129,"Leisure, Culture &amp; Tourism",'1. All Data'!$W$3:$W$129,"Deferred")</f>
        <v>0</v>
      </c>
      <c r="Y63" s="299" t="e">
        <f>X63/X65</f>
        <v>#DIV/0!</v>
      </c>
      <c r="Z63" s="299" t="e">
        <f>Y63</f>
        <v>#DIV/0!</v>
      </c>
      <c r="AA63" s="256"/>
      <c r="AB63" s="65"/>
      <c r="AC63" s="234"/>
    </row>
    <row r="64" spans="2:29" ht="15.75" customHeight="1">
      <c r="B64" s="298" t="s">
        <v>168</v>
      </c>
      <c r="C64" s="289">
        <f>COUNTIFS('1. All Data'!$AC$3:$AC$129,"Leisure, Culture &amp; Tourism",'1. All Data'!$I$3:$I$129,"Deleted")</f>
        <v>0</v>
      </c>
      <c r="D64" s="299">
        <f>C64/C65</f>
        <v>0</v>
      </c>
      <c r="E64" s="299">
        <f>D64</f>
        <v>0</v>
      </c>
      <c r="F64" s="300"/>
      <c r="G64" s="36" t="s">
        <v>194</v>
      </c>
      <c r="I64" s="298" t="s">
        <v>168</v>
      </c>
      <c r="J64" s="289">
        <f>COUNTIFS('1. All Data'!$AC$3:$AC$129,"Leisure, Culture &amp; Tourism",'1. All Data'!$N$3:$N$129,"Deleted")</f>
        <v>0</v>
      </c>
      <c r="K64" s="299">
        <f>J64/J65</f>
        <v>0</v>
      </c>
      <c r="L64" s="299">
        <f>K64</f>
        <v>0</v>
      </c>
      <c r="M64" s="300"/>
      <c r="N64" s="36" t="s">
        <v>194</v>
      </c>
      <c r="P64" s="298" t="s">
        <v>168</v>
      </c>
      <c r="Q64" s="289">
        <f>COUNTIFS('1. All Data'!$AC$3:$AC$129,"Leisure, Culture &amp; Tourism",'1. All Data'!$S$3:$S$129,"Deleted")</f>
        <v>0</v>
      </c>
      <c r="R64" s="299" t="e">
        <f>Q64/Q65</f>
        <v>#DIV/0!</v>
      </c>
      <c r="S64" s="299" t="e">
        <f>R64</f>
        <v>#DIV/0!</v>
      </c>
      <c r="T64" s="300"/>
      <c r="U64" s="36" t="s">
        <v>194</v>
      </c>
      <c r="W64" s="254" t="s">
        <v>168</v>
      </c>
      <c r="X64" s="289">
        <f>COUNTIFS('1. All Data'!$AC$3:$AC$129,"Leisure, Culture &amp; Tourism",'1. All Data'!$W$3:$W$129,"Deleted")</f>
        <v>0</v>
      </c>
      <c r="Y64" s="299" t="e">
        <f>X64/X65</f>
        <v>#DIV/0!</v>
      </c>
      <c r="Z64" s="299" t="e">
        <f>Y64</f>
        <v>#DIV/0!</v>
      </c>
      <c r="AA64" s="256"/>
      <c r="AB64" s="9" t="s">
        <v>194</v>
      </c>
      <c r="AC64" s="234"/>
    </row>
    <row r="65" spans="2:29" ht="15.75" customHeight="1">
      <c r="B65" s="301" t="s">
        <v>195</v>
      </c>
      <c r="C65" s="302">
        <f>SUM(C51:C64)</f>
        <v>19</v>
      </c>
      <c r="D65" s="256"/>
      <c r="E65" s="256"/>
      <c r="F65" s="303"/>
      <c r="G65" s="65"/>
      <c r="I65" s="301" t="s">
        <v>195</v>
      </c>
      <c r="J65" s="302">
        <f>SUM(J51:J64)</f>
        <v>19</v>
      </c>
      <c r="K65" s="256"/>
      <c r="L65" s="256"/>
      <c r="M65" s="303"/>
      <c r="N65" s="65"/>
      <c r="P65" s="301" t="s">
        <v>195</v>
      </c>
      <c r="Q65" s="302">
        <f>SUM(Q51:Q64)</f>
        <v>0</v>
      </c>
      <c r="R65" s="256"/>
      <c r="S65" s="256"/>
      <c r="T65" s="303"/>
      <c r="U65" s="65"/>
      <c r="W65" s="257" t="s">
        <v>195</v>
      </c>
      <c r="X65" s="302">
        <f>SUM(X51:X64)</f>
        <v>0</v>
      </c>
      <c r="Y65" s="256"/>
      <c r="Z65" s="256"/>
      <c r="AA65" s="65"/>
      <c r="AB65" s="65"/>
      <c r="AC65" s="234"/>
    </row>
    <row r="66" spans="2:29" ht="15.75" customHeight="1">
      <c r="B66" s="301" t="s">
        <v>196</v>
      </c>
      <c r="C66" s="302">
        <f>C65-C64-C63-C62-C61</f>
        <v>9</v>
      </c>
      <c r="D66" s="65"/>
      <c r="E66" s="65"/>
      <c r="F66" s="303"/>
      <c r="G66" s="65"/>
      <c r="I66" s="301" t="s">
        <v>196</v>
      </c>
      <c r="J66" s="302">
        <f>J65-J64-J63-J62-J61</f>
        <v>8</v>
      </c>
      <c r="K66" s="65"/>
      <c r="L66" s="65"/>
      <c r="M66" s="303"/>
      <c r="N66" s="65"/>
      <c r="P66" s="301" t="s">
        <v>196</v>
      </c>
      <c r="Q66" s="302">
        <f>Q65-Q64-Q63-Q62-Q61</f>
        <v>0</v>
      </c>
      <c r="R66" s="65"/>
      <c r="S66" s="65"/>
      <c r="T66" s="303"/>
      <c r="U66" s="65"/>
      <c r="W66" s="257" t="s">
        <v>196</v>
      </c>
      <c r="X66" s="302">
        <f>X65-X64-X63-X62-X61</f>
        <v>0</v>
      </c>
      <c r="Y66" s="65"/>
      <c r="Z66" s="65"/>
      <c r="AA66" s="65"/>
      <c r="AB66" s="65"/>
      <c r="AC66" s="234"/>
    </row>
    <row r="67" spans="2:29" ht="15.75" customHeight="1">
      <c r="W67" s="259"/>
      <c r="AA67" s="8"/>
      <c r="AC67" s="234"/>
    </row>
    <row r="68" spans="2:29" ht="15.75" customHeight="1">
      <c r="W68" s="233"/>
      <c r="X68" s="305"/>
      <c r="Y68" s="233"/>
      <c r="Z68" s="233"/>
      <c r="AA68" s="233"/>
      <c r="AB68" s="266"/>
      <c r="AC68" s="234"/>
    </row>
    <row r="69" spans="2:29" ht="15.75" customHeight="1">
      <c r="W69" s="306"/>
      <c r="X69" s="307"/>
      <c r="Y69" s="65"/>
      <c r="Z69" s="65"/>
      <c r="AA69" s="65"/>
      <c r="AB69" s="256"/>
      <c r="AC69" s="234"/>
    </row>
    <row r="70" spans="2:29" s="234" customFormat="1" ht="15.75">
      <c r="B70" s="308" t="s">
        <v>219</v>
      </c>
      <c r="C70" s="284"/>
      <c r="D70" s="284"/>
      <c r="E70" s="284"/>
      <c r="F70" s="285"/>
      <c r="G70" s="284"/>
      <c r="I70" s="308" t="s">
        <v>219</v>
      </c>
      <c r="J70" s="284"/>
      <c r="K70" s="284"/>
      <c r="L70" s="284"/>
      <c r="M70" s="285"/>
      <c r="N70" s="284"/>
      <c r="P70" s="308" t="s">
        <v>219</v>
      </c>
      <c r="Q70" s="284"/>
      <c r="R70" s="284"/>
      <c r="S70" s="284"/>
      <c r="T70" s="285"/>
      <c r="U70" s="284"/>
      <c r="W70" s="308" t="s">
        <v>219</v>
      </c>
      <c r="X70" s="284"/>
      <c r="Y70" s="284"/>
      <c r="Z70" s="284"/>
      <c r="AA70" s="285"/>
      <c r="AB70" s="284"/>
    </row>
    <row r="71" spans="2:29" ht="41.25" customHeight="1">
      <c r="B71" s="286" t="s">
        <v>186</v>
      </c>
      <c r="C71" s="287" t="s">
        <v>187</v>
      </c>
      <c r="D71" s="287" t="s">
        <v>188</v>
      </c>
      <c r="E71" s="287" t="s">
        <v>189</v>
      </c>
      <c r="F71" s="286" t="s">
        <v>190</v>
      </c>
      <c r="G71" s="287" t="s">
        <v>191</v>
      </c>
      <c r="I71" s="286" t="s">
        <v>186</v>
      </c>
      <c r="J71" s="287" t="s">
        <v>187</v>
      </c>
      <c r="K71" s="287" t="s">
        <v>188</v>
      </c>
      <c r="L71" s="287" t="s">
        <v>189</v>
      </c>
      <c r="M71" s="286" t="s">
        <v>190</v>
      </c>
      <c r="N71" s="287" t="s">
        <v>191</v>
      </c>
      <c r="P71" s="286" t="s">
        <v>186</v>
      </c>
      <c r="Q71" s="287" t="s">
        <v>187</v>
      </c>
      <c r="R71" s="287" t="s">
        <v>188</v>
      </c>
      <c r="S71" s="287" t="s">
        <v>189</v>
      </c>
      <c r="T71" s="286" t="s">
        <v>190</v>
      </c>
      <c r="U71" s="287" t="s">
        <v>191</v>
      </c>
      <c r="W71" s="230" t="s">
        <v>186</v>
      </c>
      <c r="X71" s="230" t="s">
        <v>187</v>
      </c>
      <c r="Y71" s="230" t="s">
        <v>188</v>
      </c>
      <c r="Z71" s="230" t="s">
        <v>189</v>
      </c>
      <c r="AA71" s="230" t="s">
        <v>190</v>
      </c>
      <c r="AB71" s="230" t="s">
        <v>191</v>
      </c>
      <c r="AC71" s="234"/>
    </row>
    <row r="72" spans="2:29" ht="6.75" customHeight="1">
      <c r="B72" s="231"/>
      <c r="C72" s="232"/>
      <c r="D72" s="232"/>
      <c r="E72" s="232"/>
      <c r="F72" s="231"/>
      <c r="G72" s="232"/>
      <c r="I72" s="231"/>
      <c r="J72" s="232"/>
      <c r="K72" s="232"/>
      <c r="L72" s="232"/>
      <c r="M72" s="231"/>
      <c r="N72" s="232"/>
      <c r="P72" s="231"/>
      <c r="Q72" s="232"/>
      <c r="R72" s="232"/>
      <c r="S72" s="232"/>
      <c r="T72" s="231"/>
      <c r="U72" s="232"/>
      <c r="W72" s="231"/>
      <c r="X72" s="232"/>
      <c r="Y72" s="232"/>
      <c r="Z72" s="232"/>
      <c r="AA72" s="232"/>
      <c r="AB72" s="232"/>
      <c r="AC72" s="234"/>
    </row>
    <row r="73" spans="2:29" ht="27.75" customHeight="1">
      <c r="B73" s="288" t="s">
        <v>192</v>
      </c>
      <c r="C73" s="289">
        <f>COUNTIFS('1. All Data'!$AC$3:$AC$129,"Regeneration &amp; Planning Policy",'1. All Data'!$I$3:$I$129,"Fully Achieved")</f>
        <v>0</v>
      </c>
      <c r="D73" s="290">
        <f>C73/C87</f>
        <v>0</v>
      </c>
      <c r="E73" s="432">
        <f>D73+D74</f>
        <v>0.75</v>
      </c>
      <c r="F73" s="291">
        <f>C73/C88</f>
        <v>0</v>
      </c>
      <c r="G73" s="437">
        <f>F73+F74</f>
        <v>0.94736842105263153</v>
      </c>
      <c r="I73" s="288" t="s">
        <v>192</v>
      </c>
      <c r="J73" s="289">
        <f>COUNTIFS('1. All Data'!$AC$3:$AC$129,"Regeneration &amp; Planning Policy",'1. All Data'!$N$3:$N$129,"Fully Achieved")</f>
        <v>0</v>
      </c>
      <c r="K73" s="290">
        <f>J73/J87</f>
        <v>0</v>
      </c>
      <c r="L73" s="432">
        <f>K73+K74</f>
        <v>0.95833333333333337</v>
      </c>
      <c r="M73" s="291">
        <f>J73/J88</f>
        <v>0</v>
      </c>
      <c r="N73" s="437">
        <f>M73+M74</f>
        <v>1</v>
      </c>
      <c r="P73" s="288" t="s">
        <v>192</v>
      </c>
      <c r="Q73" s="289">
        <f>COUNTIFS('1. All Data'!$AC$3:$AC$129,"Regeneration &amp; Planning Policy",'1. All Data'!$S$3:$S$129,"Fully Achieved")</f>
        <v>0</v>
      </c>
      <c r="R73" s="290" t="e">
        <f>Q73/Q87</f>
        <v>#DIV/0!</v>
      </c>
      <c r="S73" s="432" t="e">
        <f>R73+R74</f>
        <v>#DIV/0!</v>
      </c>
      <c r="T73" s="291" t="e">
        <f>Q73/Q88</f>
        <v>#DIV/0!</v>
      </c>
      <c r="U73" s="437" t="e">
        <f>T73+T74</f>
        <v>#DIV/0!</v>
      </c>
      <c r="W73" s="235" t="s">
        <v>192</v>
      </c>
      <c r="X73" s="289">
        <f>COUNTIFS('1. All Data'!$AC$3:$AC$129,"Regeneration &amp; Planning Policy",'1. All Data'!$W$3:$W$129,"Fully Achieved")</f>
        <v>0</v>
      </c>
      <c r="Y73" s="290" t="e">
        <f>X73/X87</f>
        <v>#DIV/0!</v>
      </c>
      <c r="Z73" s="432" t="e">
        <f>Y73+Y74</f>
        <v>#DIV/0!</v>
      </c>
      <c r="AA73" s="290" t="e">
        <f>X73/X88</f>
        <v>#DIV/0!</v>
      </c>
      <c r="AB73" s="410" t="e">
        <f>AA73+AA74</f>
        <v>#DIV/0!</v>
      </c>
      <c r="AC73" s="234"/>
    </row>
    <row r="74" spans="2:29" ht="27.75" customHeight="1">
      <c r="B74" s="288" t="s">
        <v>169</v>
      </c>
      <c r="C74" s="289">
        <f>COUNTIFS('1. All Data'!$AC$3:$AC$129,"Regeneration &amp; Planning Policy",'1. All Data'!$I$3:$I$129,"On Track to be Achieved")</f>
        <v>18</v>
      </c>
      <c r="D74" s="290">
        <f>C74/C87</f>
        <v>0.75</v>
      </c>
      <c r="E74" s="432"/>
      <c r="F74" s="291">
        <f>C74/C88</f>
        <v>0.94736842105263153</v>
      </c>
      <c r="G74" s="437"/>
      <c r="I74" s="288" t="s">
        <v>169</v>
      </c>
      <c r="J74" s="289">
        <f>COUNTIFS('1. All Data'!$AC$3:$AC$129,"Regeneration &amp; Planning Policy",'1. All Data'!$N$3:$N$129,"On Track to be Achieved")</f>
        <v>23</v>
      </c>
      <c r="K74" s="290">
        <f>J74/J87</f>
        <v>0.95833333333333337</v>
      </c>
      <c r="L74" s="432"/>
      <c r="M74" s="291">
        <f>J74/J88</f>
        <v>1</v>
      </c>
      <c r="N74" s="437"/>
      <c r="P74" s="288" t="s">
        <v>169</v>
      </c>
      <c r="Q74" s="289">
        <f>COUNTIFS('1. All Data'!$AC$3:$AC$129,"Regeneration &amp; Planning Policy",'1. All Data'!$S$3:$S$129,"On Track to be Achieved")</f>
        <v>0</v>
      </c>
      <c r="R74" s="290" t="e">
        <f>Q74/Q87</f>
        <v>#DIV/0!</v>
      </c>
      <c r="S74" s="432"/>
      <c r="T74" s="291" t="e">
        <f>Q74/Q88</f>
        <v>#DIV/0!</v>
      </c>
      <c r="U74" s="437"/>
      <c r="W74" s="235" t="s">
        <v>161</v>
      </c>
      <c r="X74" s="289">
        <f>COUNTIFS('1. All Data'!$AC$3:$AC$129,"Regeneration &amp; Planning Policy",'1. All Data'!$W$3:$W$129,"Numerical Outturn Within 5% Tolerance")</f>
        <v>0</v>
      </c>
      <c r="Y74" s="290" t="e">
        <f>X74/X87</f>
        <v>#DIV/0!</v>
      </c>
      <c r="Z74" s="432"/>
      <c r="AA74" s="290" t="e">
        <f>X74/X88</f>
        <v>#DIV/0!</v>
      </c>
      <c r="AB74" s="410"/>
      <c r="AC74" s="234"/>
    </row>
    <row r="75" spans="2:29" ht="7.5" customHeight="1">
      <c r="B75" s="231"/>
      <c r="C75" s="249"/>
      <c r="D75" s="246"/>
      <c r="E75" s="246"/>
      <c r="F75" s="292"/>
      <c r="G75" s="247"/>
      <c r="I75" s="231"/>
      <c r="J75" s="249"/>
      <c r="K75" s="246"/>
      <c r="L75" s="246"/>
      <c r="M75" s="292"/>
      <c r="N75" s="247"/>
      <c r="P75" s="231"/>
      <c r="Q75" s="249"/>
      <c r="R75" s="246"/>
      <c r="S75" s="246"/>
      <c r="T75" s="292"/>
      <c r="U75" s="247"/>
      <c r="W75" s="238"/>
      <c r="X75" s="239"/>
      <c r="Y75" s="240"/>
      <c r="Z75" s="240"/>
      <c r="AA75" s="240"/>
      <c r="AB75" s="241"/>
      <c r="AC75" s="234"/>
    </row>
    <row r="76" spans="2:29" ht="21" customHeight="1">
      <c r="B76" s="426" t="s">
        <v>170</v>
      </c>
      <c r="C76" s="429">
        <f>COUNTIFS('1. All Data'!$AC$3:$AC$129,"Regeneration &amp; Planning Policy",'1. All Data'!$I$3:$I$129,"In Danger of Falling Behind Target")</f>
        <v>1</v>
      </c>
      <c r="D76" s="434">
        <f>C76/C87</f>
        <v>4.1666666666666664E-2</v>
      </c>
      <c r="E76" s="434">
        <f>D76</f>
        <v>4.1666666666666664E-2</v>
      </c>
      <c r="F76" s="420">
        <f>C76/C88</f>
        <v>5.2631578947368418E-2</v>
      </c>
      <c r="G76" s="423">
        <f>F76</f>
        <v>5.2631578947368418E-2</v>
      </c>
      <c r="I76" s="426" t="s">
        <v>170</v>
      </c>
      <c r="J76" s="429">
        <f>COUNTIFS('1. All Data'!$AC$3:$AC$129,"Regeneration &amp; Planning Policy",'1. All Data'!$N$3:$N$129,"In Danger of Falling Behind Target")</f>
        <v>0</v>
      </c>
      <c r="K76" s="434">
        <f>J76/J87</f>
        <v>0</v>
      </c>
      <c r="L76" s="434">
        <f>K76</f>
        <v>0</v>
      </c>
      <c r="M76" s="420">
        <f>J76/J88</f>
        <v>0</v>
      </c>
      <c r="N76" s="423">
        <f>M76</f>
        <v>0</v>
      </c>
      <c r="P76" s="426" t="s">
        <v>170</v>
      </c>
      <c r="Q76" s="429">
        <f>COUNTIFS('1. All Data'!$AC$3:$AC$129,"Regeneration &amp; Planning Policy",'1. All Data'!$S$3:$S$129,"In Danger of Falling Behind Target")</f>
        <v>0</v>
      </c>
      <c r="R76" s="434" t="e">
        <f>Q76/Q87</f>
        <v>#DIV/0!</v>
      </c>
      <c r="S76" s="434" t="e">
        <f>R76</f>
        <v>#DIV/0!</v>
      </c>
      <c r="T76" s="420" t="e">
        <f>Q76/Q88</f>
        <v>#DIV/0!</v>
      </c>
      <c r="U76" s="423" t="e">
        <f>T76</f>
        <v>#DIV/0!</v>
      </c>
      <c r="W76" s="244" t="s">
        <v>162</v>
      </c>
      <c r="X76" s="245">
        <f>COUNTIFS('1. All Data'!$AC$3:$AC$129,"Regeneration &amp; Planning Policy",'1. All Data'!$W$3:$W$129,"Numerical Outturn Within 10% Tolerance")</f>
        <v>0</v>
      </c>
      <c r="Y76" s="237" t="e">
        <f>X76/X87</f>
        <v>#DIV/0!</v>
      </c>
      <c r="Z76" s="395" t="e">
        <f>SUM(Y76:Y78)</f>
        <v>#DIV/0!</v>
      </c>
      <c r="AA76" s="237" t="e">
        <f>X76/X88</f>
        <v>#DIV/0!</v>
      </c>
      <c r="AB76" s="396" t="e">
        <f>SUM(AA76:AA78)</f>
        <v>#DIV/0!</v>
      </c>
      <c r="AC76" s="234"/>
    </row>
    <row r="77" spans="2:29" ht="18.75" customHeight="1">
      <c r="B77" s="427"/>
      <c r="C77" s="430"/>
      <c r="D77" s="435"/>
      <c r="E77" s="435"/>
      <c r="F77" s="421"/>
      <c r="G77" s="424"/>
      <c r="I77" s="427"/>
      <c r="J77" s="430"/>
      <c r="K77" s="435"/>
      <c r="L77" s="435"/>
      <c r="M77" s="421"/>
      <c r="N77" s="424"/>
      <c r="P77" s="427"/>
      <c r="Q77" s="430"/>
      <c r="R77" s="435"/>
      <c r="S77" s="435"/>
      <c r="T77" s="421"/>
      <c r="U77" s="424"/>
      <c r="W77" s="244" t="s">
        <v>163</v>
      </c>
      <c r="X77" s="245">
        <f>COUNTIFS('1. All Data'!$AC$3:$AC$129,"Regeneration &amp; Planning Policy",'1. All Data'!$W$3:$W$129,"Target Partially Met")</f>
        <v>0</v>
      </c>
      <c r="Y77" s="237" t="e">
        <f>X77/X87</f>
        <v>#DIV/0!</v>
      </c>
      <c r="Z77" s="395"/>
      <c r="AA77" s="237" t="e">
        <f>X77/X88</f>
        <v>#DIV/0!</v>
      </c>
      <c r="AB77" s="396"/>
      <c r="AC77" s="234"/>
    </row>
    <row r="78" spans="2:29" ht="20.25" customHeight="1">
      <c r="B78" s="428"/>
      <c r="C78" s="431"/>
      <c r="D78" s="436"/>
      <c r="E78" s="436"/>
      <c r="F78" s="422"/>
      <c r="G78" s="425"/>
      <c r="I78" s="428"/>
      <c r="J78" s="431"/>
      <c r="K78" s="436"/>
      <c r="L78" s="436"/>
      <c r="M78" s="422"/>
      <c r="N78" s="425"/>
      <c r="P78" s="428"/>
      <c r="Q78" s="431"/>
      <c r="R78" s="436"/>
      <c r="S78" s="436"/>
      <c r="T78" s="422"/>
      <c r="U78" s="425"/>
      <c r="W78" s="244" t="s">
        <v>166</v>
      </c>
      <c r="X78" s="245">
        <f>COUNTIFS('1. All Data'!$AC$3:$AC$129,"Regeneration &amp; Planning Policy",'1. All Data'!$W$3:$W$129,"Completion Date Within Reasonable Tolerance")</f>
        <v>0</v>
      </c>
      <c r="Y78" s="237" t="e">
        <f>X78/X87</f>
        <v>#DIV/0!</v>
      </c>
      <c r="Z78" s="395"/>
      <c r="AA78" s="237" t="e">
        <f>X78/X88</f>
        <v>#DIV/0!</v>
      </c>
      <c r="AB78" s="396"/>
      <c r="AC78" s="234"/>
    </row>
    <row r="79" spans="2:29" ht="6" customHeight="1">
      <c r="B79" s="231"/>
      <c r="C79" s="232"/>
      <c r="D79" s="246"/>
      <c r="E79" s="246"/>
      <c r="F79" s="292"/>
      <c r="G79" s="247"/>
      <c r="I79" s="231"/>
      <c r="J79" s="232"/>
      <c r="K79" s="246"/>
      <c r="L79" s="246"/>
      <c r="M79" s="292"/>
      <c r="N79" s="247"/>
      <c r="P79" s="231"/>
      <c r="Q79" s="232"/>
      <c r="R79" s="246"/>
      <c r="S79" s="246"/>
      <c r="T79" s="292"/>
      <c r="U79" s="247"/>
      <c r="W79" s="231"/>
      <c r="X79" s="232"/>
      <c r="Y79" s="246"/>
      <c r="Z79" s="246"/>
      <c r="AA79" s="246"/>
      <c r="AB79" s="247"/>
      <c r="AC79" s="234"/>
    </row>
    <row r="80" spans="2:29" ht="30" customHeight="1">
      <c r="B80" s="293" t="s">
        <v>171</v>
      </c>
      <c r="C80" s="289">
        <f>COUNTIFS('1. All Data'!$AC$3:$AC$129,"Regeneration &amp; Planning Policy",'1. All Data'!$I$3:$I$129,"Completed Behind Schedule")</f>
        <v>0</v>
      </c>
      <c r="D80" s="290">
        <f>C80/C87</f>
        <v>0</v>
      </c>
      <c r="E80" s="432">
        <f>D80+D81</f>
        <v>0</v>
      </c>
      <c r="F80" s="291">
        <f>C80/C88</f>
        <v>0</v>
      </c>
      <c r="G80" s="433">
        <f>F80+F81</f>
        <v>0</v>
      </c>
      <c r="I80" s="293" t="s">
        <v>171</v>
      </c>
      <c r="J80" s="289">
        <f>COUNTIFS('1. All Data'!$AC$3:$AC$129,"Regeneration &amp; Planning Policy",'1. All Data'!$N$3:$N$129,"Completed Behind Schedule")</f>
        <v>0</v>
      </c>
      <c r="K80" s="290">
        <f>J80/J87</f>
        <v>0</v>
      </c>
      <c r="L80" s="432">
        <f>K80+K81</f>
        <v>0</v>
      </c>
      <c r="M80" s="291">
        <f>J80/J88</f>
        <v>0</v>
      </c>
      <c r="N80" s="433">
        <f>M80+M81</f>
        <v>0</v>
      </c>
      <c r="P80" s="293" t="s">
        <v>171</v>
      </c>
      <c r="Q80" s="289">
        <f>COUNTIFS('1. All Data'!$AC$3:$AC$129,"Regeneration &amp; Planning Policy",'1. All Data'!$S$3:$S$129,"Completed Behind Schedule")</f>
        <v>0</v>
      </c>
      <c r="R80" s="290" t="e">
        <f>Q80/Q87</f>
        <v>#DIV/0!</v>
      </c>
      <c r="S80" s="432" t="e">
        <f>R80+R81</f>
        <v>#DIV/0!</v>
      </c>
      <c r="T80" s="291" t="e">
        <f>Q80/Q88</f>
        <v>#DIV/0!</v>
      </c>
      <c r="U80" s="433" t="e">
        <f>T80+T81</f>
        <v>#DIV/0!</v>
      </c>
      <c r="W80" s="248" t="s">
        <v>165</v>
      </c>
      <c r="X80" s="289">
        <f>COUNTIFS('1. All Data'!$AC$3:$AC$129,"Regeneration &amp; Planning Policy",'1. All Data'!$W$3:$W$129,"Completed Significantly After Target Deadline")</f>
        <v>0</v>
      </c>
      <c r="Y80" s="290" t="e">
        <f>X80/X87</f>
        <v>#DIV/0!</v>
      </c>
      <c r="Z80" s="432" t="e">
        <f>Y80+Y81</f>
        <v>#DIV/0!</v>
      </c>
      <c r="AA80" s="237" t="e">
        <f>X80/X88</f>
        <v>#DIV/0!</v>
      </c>
      <c r="AB80" s="397" t="e">
        <f>AA80+AA81</f>
        <v>#DIV/0!</v>
      </c>
      <c r="AC80" s="234"/>
    </row>
    <row r="81" spans="2:29" ht="30" customHeight="1">
      <c r="B81" s="293" t="s">
        <v>164</v>
      </c>
      <c r="C81" s="289">
        <f>COUNTIFS('1. All Data'!$AC$3:$AC$129,"Regeneration &amp; Planning Policy",'1. All Data'!$I$3:$I$129,"Off Target")</f>
        <v>0</v>
      </c>
      <c r="D81" s="290">
        <f>C81/C87</f>
        <v>0</v>
      </c>
      <c r="E81" s="432"/>
      <c r="F81" s="291">
        <f>C81/C88</f>
        <v>0</v>
      </c>
      <c r="G81" s="433"/>
      <c r="I81" s="293" t="s">
        <v>164</v>
      </c>
      <c r="J81" s="289">
        <f>COUNTIFS('1. All Data'!$AC$3:$AC$129,"Regeneration &amp; Planning Policy",'1. All Data'!$N$3:$N$129,"Off Target")</f>
        <v>0</v>
      </c>
      <c r="K81" s="290">
        <f>J81/J87</f>
        <v>0</v>
      </c>
      <c r="L81" s="432"/>
      <c r="M81" s="291">
        <f>J81/J88</f>
        <v>0</v>
      </c>
      <c r="N81" s="433"/>
      <c r="P81" s="293" t="s">
        <v>164</v>
      </c>
      <c r="Q81" s="289">
        <f>COUNTIFS('1. All Data'!$AC$3:$AC$129,"Regeneration &amp; Planning Policy",'1. All Data'!$S$3:$S$129,"Off Target")</f>
        <v>0</v>
      </c>
      <c r="R81" s="290" t="e">
        <f>Q81/Q87</f>
        <v>#DIV/0!</v>
      </c>
      <c r="S81" s="432"/>
      <c r="T81" s="291" t="e">
        <f>Q81/Q88</f>
        <v>#DIV/0!</v>
      </c>
      <c r="U81" s="433"/>
      <c r="W81" s="248" t="s">
        <v>164</v>
      </c>
      <c r="X81" s="289">
        <f>COUNTIFS('1. All Data'!$AC$3:$AC$129,"Regeneration &amp; Planning Policy",'1. All Data'!$S$3:$S$129,"Off Target")</f>
        <v>0</v>
      </c>
      <c r="Y81" s="290" t="e">
        <f>X81/X87</f>
        <v>#DIV/0!</v>
      </c>
      <c r="Z81" s="432"/>
      <c r="AA81" s="237" t="e">
        <f>X81/X88</f>
        <v>#DIV/0!</v>
      </c>
      <c r="AB81" s="397"/>
      <c r="AC81" s="234"/>
    </row>
    <row r="82" spans="2:29" ht="5.25" customHeight="1">
      <c r="B82" s="231"/>
      <c r="C82" s="249"/>
      <c r="D82" s="246"/>
      <c r="E82" s="246"/>
      <c r="F82" s="292"/>
      <c r="G82" s="250"/>
      <c r="I82" s="231"/>
      <c r="J82" s="249"/>
      <c r="K82" s="246"/>
      <c r="L82" s="246"/>
      <c r="M82" s="292"/>
      <c r="N82" s="250"/>
      <c r="P82" s="231"/>
      <c r="Q82" s="249"/>
      <c r="R82" s="246"/>
      <c r="S82" s="246"/>
      <c r="T82" s="292"/>
      <c r="U82" s="250"/>
      <c r="W82" s="231"/>
      <c r="X82" s="249"/>
      <c r="Y82" s="246"/>
      <c r="Z82" s="246"/>
      <c r="AA82" s="246"/>
      <c r="AB82" s="250"/>
      <c r="AC82" s="234"/>
    </row>
    <row r="83" spans="2:29" ht="15.75" customHeight="1">
      <c r="B83" s="295" t="s">
        <v>193</v>
      </c>
      <c r="C83" s="289">
        <f>COUNTIFS('1. All Data'!$AC$3:$AC$129,"Regeneration &amp; Planning Policy",'1. All Data'!$I$3:$I$129,"Not yet due")</f>
        <v>4</v>
      </c>
      <c r="D83" s="296">
        <f>C83/C87</f>
        <v>0.16666666666666666</v>
      </c>
      <c r="E83" s="296">
        <f>D83</f>
        <v>0.16666666666666666</v>
      </c>
      <c r="F83" s="297"/>
      <c r="G83" s="65"/>
      <c r="I83" s="295" t="s">
        <v>193</v>
      </c>
      <c r="J83" s="289">
        <f>COUNTIFS('1. All Data'!$AC$3:$AC$129,"Regeneration &amp; Planning Policy",'1. All Data'!$N$3:$N$129,"Not yet due")</f>
        <v>0</v>
      </c>
      <c r="K83" s="296">
        <f>J83/J87</f>
        <v>0</v>
      </c>
      <c r="L83" s="296">
        <f>K83</f>
        <v>0</v>
      </c>
      <c r="M83" s="297"/>
      <c r="N83" s="65"/>
      <c r="P83" s="295" t="s">
        <v>193</v>
      </c>
      <c r="Q83" s="289">
        <f>COUNTIFS('1. All Data'!$AC$3:$AC$129,"Regeneration &amp; Planning Policy",'1. All Data'!$S$3:$S$129,"Not yet due")</f>
        <v>0</v>
      </c>
      <c r="R83" s="296" t="e">
        <f>Q83/Q87</f>
        <v>#DIV/0!</v>
      </c>
      <c r="S83" s="296" t="e">
        <f>R83</f>
        <v>#DIV/0!</v>
      </c>
      <c r="T83" s="297"/>
      <c r="U83" s="65"/>
      <c r="W83" s="251" t="s">
        <v>193</v>
      </c>
      <c r="X83" s="289">
        <f>COUNTIFS('1. All Data'!$AC$3:$AC$129,"Regeneration &amp; Planning Policy",'1. All Data'!$W$3:$W$129,"Not yet due")</f>
        <v>0</v>
      </c>
      <c r="Y83" s="296" t="e">
        <f>X83/X87</f>
        <v>#DIV/0!</v>
      </c>
      <c r="Z83" s="296" t="e">
        <f>Y83</f>
        <v>#DIV/0!</v>
      </c>
      <c r="AA83" s="253"/>
      <c r="AB83" s="65"/>
      <c r="AC83" s="234"/>
    </row>
    <row r="84" spans="2:29" ht="15.75" customHeight="1">
      <c r="B84" s="295" t="s">
        <v>159</v>
      </c>
      <c r="C84" s="289">
        <f>COUNTIFS('1. All Data'!$AC$3:$AC$129,"Regeneration &amp; Planning Policy",'1. All Data'!$I$3:$I$129,"Update not provided")</f>
        <v>0</v>
      </c>
      <c r="D84" s="296">
        <f>C84/C87</f>
        <v>0</v>
      </c>
      <c r="E84" s="296">
        <f>D84</f>
        <v>0</v>
      </c>
      <c r="F84" s="297"/>
      <c r="G84" s="8"/>
      <c r="I84" s="295" t="s">
        <v>159</v>
      </c>
      <c r="J84" s="289">
        <f>COUNTIFS('1. All Data'!$AC$3:$AC$129,"Regeneration &amp; Planning Policy",'1. All Data'!$N$3:$N$129,"Update not provided")</f>
        <v>0</v>
      </c>
      <c r="K84" s="296">
        <f>J84/J87</f>
        <v>0</v>
      </c>
      <c r="L84" s="296">
        <f>K84</f>
        <v>0</v>
      </c>
      <c r="M84" s="297"/>
      <c r="N84" s="8"/>
      <c r="P84" s="295" t="s">
        <v>159</v>
      </c>
      <c r="Q84" s="289">
        <f>COUNTIFS('1. All Data'!$AC$3:$AC$129,"Regeneration &amp; Planning Policy",'1. All Data'!$S$3:$S$129,"Update not provided")</f>
        <v>0</v>
      </c>
      <c r="R84" s="296" t="e">
        <f>Q84/Q87</f>
        <v>#DIV/0!</v>
      </c>
      <c r="S84" s="296" t="e">
        <f>R84</f>
        <v>#DIV/0!</v>
      </c>
      <c r="T84" s="297"/>
      <c r="U84" s="8"/>
      <c r="W84" s="251" t="s">
        <v>159</v>
      </c>
      <c r="X84" s="289">
        <f>COUNTIFS('1. All Data'!$AC$3:$AC$129,"Regeneration &amp; Planning Policy",'1. All Data'!$W$3:$W$129,"Update not provided")</f>
        <v>0</v>
      </c>
      <c r="Y84" s="296" t="e">
        <f>X84/X87</f>
        <v>#DIV/0!</v>
      </c>
      <c r="Z84" s="296" t="e">
        <f>Y84</f>
        <v>#DIV/0!</v>
      </c>
      <c r="AA84" s="253"/>
      <c r="AB84" s="8"/>
      <c r="AC84" s="234"/>
    </row>
    <row r="85" spans="2:29" ht="15.75" customHeight="1">
      <c r="B85" s="298" t="s">
        <v>167</v>
      </c>
      <c r="C85" s="289">
        <f>COUNTIFS('1. All Data'!$AC$3:$AC$129,"Regeneration &amp; Planning Policy",'1. All Data'!$I$3:$I$129,"Deferred")</f>
        <v>1</v>
      </c>
      <c r="D85" s="299">
        <f>C85/C87</f>
        <v>4.1666666666666664E-2</v>
      </c>
      <c r="E85" s="299">
        <f>D85</f>
        <v>4.1666666666666664E-2</v>
      </c>
      <c r="F85" s="300"/>
      <c r="G85" s="65"/>
      <c r="I85" s="298" t="s">
        <v>167</v>
      </c>
      <c r="J85" s="289">
        <f>COUNTIFS('1. All Data'!$AC$3:$AC$129,"Regeneration &amp; Planning Policy",'1. All Data'!$N$3:$N$129,"Deferred")</f>
        <v>1</v>
      </c>
      <c r="K85" s="299">
        <f>J85/J87</f>
        <v>4.1666666666666664E-2</v>
      </c>
      <c r="L85" s="299">
        <f>K85</f>
        <v>4.1666666666666664E-2</v>
      </c>
      <c r="M85" s="300"/>
      <c r="N85" s="65"/>
      <c r="P85" s="298" t="s">
        <v>167</v>
      </c>
      <c r="Q85" s="289">
        <f>COUNTIFS('1. All Data'!$AC$3:$AC$129,"Regeneration &amp; Planning Policy",'1. All Data'!$S$3:$S$129,"Deferred")</f>
        <v>0</v>
      </c>
      <c r="R85" s="299" t="e">
        <f>Q85/Q87</f>
        <v>#DIV/0!</v>
      </c>
      <c r="S85" s="299" t="e">
        <f>R85</f>
        <v>#DIV/0!</v>
      </c>
      <c r="T85" s="300"/>
      <c r="U85" s="65"/>
      <c r="W85" s="254" t="s">
        <v>167</v>
      </c>
      <c r="X85" s="289">
        <f>COUNTIFS('1. All Data'!$AC$3:$AC$129,"Regeneration &amp; Planning Policy",'1. All Data'!$W$3:$W$129,"Deferred")</f>
        <v>0</v>
      </c>
      <c r="Y85" s="299" t="e">
        <f>X85/X87</f>
        <v>#DIV/0!</v>
      </c>
      <c r="Z85" s="299" t="e">
        <f>Y85</f>
        <v>#DIV/0!</v>
      </c>
      <c r="AA85" s="256"/>
      <c r="AB85" s="65"/>
      <c r="AC85" s="234"/>
    </row>
    <row r="86" spans="2:29" ht="15.75" customHeight="1">
      <c r="B86" s="298" t="s">
        <v>168</v>
      </c>
      <c r="C86" s="289">
        <f>COUNTIFS('1. All Data'!$AC$3:$AC$129,"Regeneration &amp; Planning Policy",'1. All Data'!$I$3:$I$129,"Deleted")</f>
        <v>0</v>
      </c>
      <c r="D86" s="299">
        <f>C86/C87</f>
        <v>0</v>
      </c>
      <c r="E86" s="299">
        <f>D86</f>
        <v>0</v>
      </c>
      <c r="F86" s="300"/>
      <c r="G86" s="36" t="s">
        <v>194</v>
      </c>
      <c r="I86" s="298" t="s">
        <v>168</v>
      </c>
      <c r="J86" s="289">
        <f>COUNTIFS('1. All Data'!$AC$3:$AC$129,"Regeneration &amp; Planning Policy",'1. All Data'!$N$3:$N$129,"Deleted")</f>
        <v>0</v>
      </c>
      <c r="K86" s="299">
        <f>J86/J87</f>
        <v>0</v>
      </c>
      <c r="L86" s="299">
        <f>K86</f>
        <v>0</v>
      </c>
      <c r="M86" s="300"/>
      <c r="N86" s="36" t="s">
        <v>194</v>
      </c>
      <c r="P86" s="298" t="s">
        <v>168</v>
      </c>
      <c r="Q86" s="289">
        <f>COUNTIFS('1. All Data'!$AC$3:$AC$129,"Regeneration &amp; Planning Policy",'1. All Data'!$S$3:$S$129,"Deleted")</f>
        <v>0</v>
      </c>
      <c r="R86" s="299" t="e">
        <f>Q86/Q87</f>
        <v>#DIV/0!</v>
      </c>
      <c r="S86" s="299" t="e">
        <f>R86</f>
        <v>#DIV/0!</v>
      </c>
      <c r="T86" s="300"/>
      <c r="U86" s="36" t="s">
        <v>194</v>
      </c>
      <c r="W86" s="254" t="s">
        <v>168</v>
      </c>
      <c r="X86" s="289">
        <f>COUNTIFS('1. All Data'!$AC$3:$AC$129,"Regeneration &amp; Planning Policy",'1. All Data'!$W$3:$W$129,"Deleted")</f>
        <v>0</v>
      </c>
      <c r="Y86" s="299" t="e">
        <f>X86/X87</f>
        <v>#DIV/0!</v>
      </c>
      <c r="Z86" s="299" t="e">
        <f>Y86</f>
        <v>#DIV/0!</v>
      </c>
      <c r="AA86" s="256"/>
      <c r="AB86" s="9" t="s">
        <v>194</v>
      </c>
      <c r="AC86" s="234"/>
    </row>
    <row r="87" spans="2:29" ht="15.75" customHeight="1">
      <c r="B87" s="301" t="s">
        <v>195</v>
      </c>
      <c r="C87" s="302">
        <f>SUM(C73:C86)</f>
        <v>24</v>
      </c>
      <c r="D87" s="256"/>
      <c r="E87" s="256"/>
      <c r="F87" s="303"/>
      <c r="G87" s="65"/>
      <c r="I87" s="301" t="s">
        <v>195</v>
      </c>
      <c r="J87" s="302">
        <f>SUM(J73:J86)</f>
        <v>24</v>
      </c>
      <c r="K87" s="256"/>
      <c r="L87" s="256"/>
      <c r="M87" s="303"/>
      <c r="N87" s="65"/>
      <c r="P87" s="301" t="s">
        <v>195</v>
      </c>
      <c r="Q87" s="302">
        <f>SUM(Q73:Q86)</f>
        <v>0</v>
      </c>
      <c r="R87" s="256"/>
      <c r="S87" s="256"/>
      <c r="T87" s="303"/>
      <c r="U87" s="65"/>
      <c r="W87" s="257" t="s">
        <v>195</v>
      </c>
      <c r="X87" s="302">
        <f>SUM(X73:X86)</f>
        <v>0</v>
      </c>
      <c r="Y87" s="256"/>
      <c r="Z87" s="256"/>
      <c r="AA87" s="65"/>
      <c r="AB87" s="65"/>
      <c r="AC87" s="234"/>
    </row>
    <row r="88" spans="2:29" ht="15.75" customHeight="1">
      <c r="B88" s="301" t="s">
        <v>196</v>
      </c>
      <c r="C88" s="302">
        <f>C87-C86-C85-C84-C83</f>
        <v>19</v>
      </c>
      <c r="D88" s="65"/>
      <c r="E88" s="65"/>
      <c r="F88" s="303"/>
      <c r="G88" s="65"/>
      <c r="I88" s="301" t="s">
        <v>196</v>
      </c>
      <c r="J88" s="302">
        <f>J87-J86-J85-J84-J83</f>
        <v>23</v>
      </c>
      <c r="K88" s="65"/>
      <c r="L88" s="65"/>
      <c r="M88" s="303"/>
      <c r="N88" s="65"/>
      <c r="P88" s="301" t="s">
        <v>196</v>
      </c>
      <c r="Q88" s="302">
        <f>Q87-Q86-Q85-Q84-Q83</f>
        <v>0</v>
      </c>
      <c r="R88" s="65"/>
      <c r="S88" s="65"/>
      <c r="T88" s="303"/>
      <c r="U88" s="65"/>
      <c r="W88" s="257" t="s">
        <v>196</v>
      </c>
      <c r="X88" s="302">
        <f>X87-X86-X85-X84-X83</f>
        <v>0</v>
      </c>
      <c r="Y88" s="65"/>
      <c r="Z88" s="65"/>
      <c r="AA88" s="65"/>
      <c r="AB88" s="65"/>
      <c r="AC88" s="234"/>
    </row>
    <row r="89" spans="2:29" ht="15.75" customHeight="1">
      <c r="W89" s="259"/>
      <c r="AA89" s="8"/>
      <c r="AC89" s="234"/>
    </row>
    <row r="90" spans="2:29" ht="15.75" customHeight="1">
      <c r="W90" s="233"/>
      <c r="X90" s="233"/>
      <c r="Y90" s="233"/>
      <c r="Z90" s="233"/>
      <c r="AA90" s="233"/>
      <c r="AB90" s="266"/>
      <c r="AC90" s="234"/>
    </row>
    <row r="91" spans="2:29" s="234" customFormat="1" ht="15.75" customHeight="1">
      <c r="B91" s="267"/>
      <c r="C91" s="233"/>
      <c r="D91" s="233"/>
      <c r="E91" s="233"/>
      <c r="F91" s="303"/>
      <c r="G91" s="233"/>
      <c r="I91" s="267"/>
      <c r="J91" s="233"/>
      <c r="K91" s="233"/>
      <c r="L91" s="233"/>
      <c r="M91" s="303"/>
      <c r="N91" s="233"/>
      <c r="P91" s="267"/>
      <c r="Q91" s="233"/>
      <c r="R91" s="233"/>
      <c r="S91" s="233"/>
      <c r="T91" s="303"/>
      <c r="U91" s="233"/>
      <c r="W91" s="233"/>
      <c r="X91" s="233"/>
      <c r="Y91" s="233"/>
      <c r="Z91" s="233"/>
      <c r="AA91" s="233"/>
      <c r="AB91" s="266"/>
    </row>
    <row r="92" spans="2:29" s="234" customFormat="1" ht="15.75">
      <c r="B92" s="308" t="s">
        <v>220</v>
      </c>
      <c r="C92" s="284"/>
      <c r="D92" s="284"/>
      <c r="E92" s="284"/>
      <c r="F92" s="285"/>
      <c r="G92" s="284"/>
      <c r="I92" s="308" t="s">
        <v>220</v>
      </c>
      <c r="J92" s="284"/>
      <c r="K92" s="284"/>
      <c r="L92" s="284"/>
      <c r="M92" s="285"/>
      <c r="N92" s="284"/>
      <c r="P92" s="308" t="s">
        <v>220</v>
      </c>
      <c r="Q92" s="284"/>
      <c r="R92" s="284"/>
      <c r="S92" s="284"/>
      <c r="T92" s="285"/>
      <c r="U92" s="284"/>
      <c r="W92" s="308" t="s">
        <v>220</v>
      </c>
      <c r="X92" s="284"/>
      <c r="Y92" s="284"/>
      <c r="Z92" s="284"/>
      <c r="AA92" s="285"/>
      <c r="AB92" s="284"/>
    </row>
    <row r="93" spans="2:29" ht="36" customHeight="1">
      <c r="B93" s="286" t="s">
        <v>186</v>
      </c>
      <c r="C93" s="287" t="s">
        <v>187</v>
      </c>
      <c r="D93" s="287" t="s">
        <v>188</v>
      </c>
      <c r="E93" s="287" t="s">
        <v>189</v>
      </c>
      <c r="F93" s="286" t="s">
        <v>190</v>
      </c>
      <c r="G93" s="287" t="s">
        <v>191</v>
      </c>
      <c r="I93" s="286" t="s">
        <v>186</v>
      </c>
      <c r="J93" s="287" t="s">
        <v>187</v>
      </c>
      <c r="K93" s="287" t="s">
        <v>188</v>
      </c>
      <c r="L93" s="287" t="s">
        <v>189</v>
      </c>
      <c r="M93" s="286" t="s">
        <v>190</v>
      </c>
      <c r="N93" s="287" t="s">
        <v>191</v>
      </c>
      <c r="P93" s="286" t="s">
        <v>186</v>
      </c>
      <c r="Q93" s="287" t="s">
        <v>187</v>
      </c>
      <c r="R93" s="287" t="s">
        <v>188</v>
      </c>
      <c r="S93" s="287" t="s">
        <v>189</v>
      </c>
      <c r="T93" s="286" t="s">
        <v>190</v>
      </c>
      <c r="U93" s="287" t="s">
        <v>191</v>
      </c>
      <c r="W93" s="230" t="s">
        <v>186</v>
      </c>
      <c r="X93" s="230" t="s">
        <v>187</v>
      </c>
      <c r="Y93" s="230" t="s">
        <v>188</v>
      </c>
      <c r="Z93" s="230" t="s">
        <v>189</v>
      </c>
      <c r="AA93" s="230" t="s">
        <v>190</v>
      </c>
      <c r="AB93" s="230" t="s">
        <v>191</v>
      </c>
      <c r="AC93" s="234"/>
    </row>
    <row r="94" spans="2:29" s="234" customFormat="1" ht="7.5" customHeight="1">
      <c r="B94" s="231"/>
      <c r="C94" s="232"/>
      <c r="D94" s="232"/>
      <c r="E94" s="232"/>
      <c r="F94" s="231"/>
      <c r="G94" s="232"/>
      <c r="I94" s="231"/>
      <c r="J94" s="232"/>
      <c r="K94" s="232"/>
      <c r="L94" s="232"/>
      <c r="M94" s="231"/>
      <c r="N94" s="232"/>
      <c r="P94" s="231"/>
      <c r="Q94" s="232"/>
      <c r="R94" s="232"/>
      <c r="S94" s="232"/>
      <c r="T94" s="231"/>
      <c r="U94" s="232"/>
      <c r="W94" s="231"/>
      <c r="X94" s="232"/>
      <c r="Y94" s="232"/>
      <c r="Z94" s="232"/>
      <c r="AA94" s="232"/>
      <c r="AB94" s="232"/>
    </row>
    <row r="95" spans="2:29" ht="18.75" customHeight="1">
      <c r="B95" s="288" t="s">
        <v>192</v>
      </c>
      <c r="C95" s="289">
        <f>COUNTIFS('1. All Data'!$AC$3:$AC$129,"Regulatory &amp; Community Support",'1. All Data'!$I$3:$I$129,"Fully Achieved")</f>
        <v>0</v>
      </c>
      <c r="D95" s="290">
        <f>C95/C109</f>
        <v>0</v>
      </c>
      <c r="E95" s="432">
        <f>D95+D96</f>
        <v>0.81818181818181823</v>
      </c>
      <c r="F95" s="291">
        <f>C95/C110</f>
        <v>0</v>
      </c>
      <c r="G95" s="437">
        <f>F95+F96</f>
        <v>0.9</v>
      </c>
      <c r="I95" s="288" t="s">
        <v>192</v>
      </c>
      <c r="J95" s="289">
        <f>COUNTIFS('1. All Data'!$AC$3:$AC$129,"Regulatory &amp; Community Support",'1. All Data'!$N$3:$N$129,"Fully Achieved")</f>
        <v>1</v>
      </c>
      <c r="K95" s="290">
        <f>J95/J109</f>
        <v>9.0909090909090912E-2</v>
      </c>
      <c r="L95" s="432">
        <f>K95+K96</f>
        <v>0.72727272727272729</v>
      </c>
      <c r="M95" s="291">
        <f>J95/J110</f>
        <v>0.1111111111111111</v>
      </c>
      <c r="N95" s="437">
        <f>M95+M96</f>
        <v>0.88888888888888884</v>
      </c>
      <c r="P95" s="288" t="s">
        <v>192</v>
      </c>
      <c r="Q95" s="289">
        <f>COUNTIFS('1. All Data'!$AC$3:$AC$129,"Regulatory &amp; Community Support",'1. All Data'!$S$3:$S$129,"Fully Achieved")</f>
        <v>0</v>
      </c>
      <c r="R95" s="290" t="e">
        <f>Q95/Q109</f>
        <v>#DIV/0!</v>
      </c>
      <c r="S95" s="432" t="e">
        <f>R95+R96</f>
        <v>#DIV/0!</v>
      </c>
      <c r="T95" s="291" t="e">
        <f>Q95/Q110</f>
        <v>#DIV/0!</v>
      </c>
      <c r="U95" s="437" t="e">
        <f>T95+T96</f>
        <v>#DIV/0!</v>
      </c>
      <c r="W95" s="235" t="s">
        <v>192</v>
      </c>
      <c r="X95" s="289">
        <f>COUNTIFS('1. All Data'!$AC$3:$AC$129,"Regulatory &amp; Community Support",'1. All Data'!$W$3:$W$129,"Fully Achieved")</f>
        <v>0</v>
      </c>
      <c r="Y95" s="290" t="e">
        <f>X95/X109</f>
        <v>#DIV/0!</v>
      </c>
      <c r="Z95" s="432" t="e">
        <f>Y95+Y96</f>
        <v>#DIV/0!</v>
      </c>
      <c r="AA95" s="290" t="e">
        <f>X95/X110</f>
        <v>#DIV/0!</v>
      </c>
      <c r="AB95" s="410" t="e">
        <f>AA95+AA96</f>
        <v>#DIV/0!</v>
      </c>
      <c r="AC95" s="234"/>
    </row>
    <row r="96" spans="2:29" ht="18.75" customHeight="1">
      <c r="B96" s="288" t="s">
        <v>169</v>
      </c>
      <c r="C96" s="289">
        <f>COUNTIFS('1. All Data'!$AC$3:$AC$129,"Regulatory &amp; Community Support",'1. All Data'!$I$3:$I$129,"On Track to be Achieved")</f>
        <v>9</v>
      </c>
      <c r="D96" s="290">
        <f>C96/C109</f>
        <v>0.81818181818181823</v>
      </c>
      <c r="E96" s="432"/>
      <c r="F96" s="291">
        <f>C96/C110</f>
        <v>0.9</v>
      </c>
      <c r="G96" s="437"/>
      <c r="I96" s="288" t="s">
        <v>169</v>
      </c>
      <c r="J96" s="289">
        <f>COUNTIFS('1. All Data'!$AC$3:$AC$129,"Regulatory &amp; Community Support",'1. All Data'!$N$3:$N$129,"On Track to be Achieved")</f>
        <v>7</v>
      </c>
      <c r="K96" s="290">
        <f>J96/J109</f>
        <v>0.63636363636363635</v>
      </c>
      <c r="L96" s="432"/>
      <c r="M96" s="291">
        <f>J96/J110</f>
        <v>0.77777777777777779</v>
      </c>
      <c r="N96" s="437"/>
      <c r="P96" s="288" t="s">
        <v>169</v>
      </c>
      <c r="Q96" s="289">
        <f>COUNTIFS('1. All Data'!$AC$3:$AC$129,"Regulatory &amp; Community Support",'1. All Data'!$S$3:$S$129,"On Track to be Achieved")</f>
        <v>0</v>
      </c>
      <c r="R96" s="290" t="e">
        <f>Q96/Q109</f>
        <v>#DIV/0!</v>
      </c>
      <c r="S96" s="432"/>
      <c r="T96" s="291" t="e">
        <f>Q96/Q110</f>
        <v>#DIV/0!</v>
      </c>
      <c r="U96" s="437"/>
      <c r="W96" s="235" t="s">
        <v>161</v>
      </c>
      <c r="X96" s="289">
        <f>COUNTIFS('1. All Data'!$AC$3:$AC$129,"Regulatory &amp; Community Support",'1. All Data'!$W$3:$W$129,"Numerical Outturn Within 5% Tolerance")</f>
        <v>0</v>
      </c>
      <c r="Y96" s="290" t="e">
        <f>X96/X109</f>
        <v>#DIV/0!</v>
      </c>
      <c r="Z96" s="432"/>
      <c r="AA96" s="290" t="e">
        <f>X96/X110</f>
        <v>#DIV/0!</v>
      </c>
      <c r="AB96" s="410"/>
      <c r="AC96" s="234"/>
    </row>
    <row r="97" spans="2:29" s="234" customFormat="1" ht="6.75" customHeight="1">
      <c r="B97" s="231"/>
      <c r="C97" s="249"/>
      <c r="D97" s="246"/>
      <c r="E97" s="246"/>
      <c r="F97" s="292"/>
      <c r="G97" s="247"/>
      <c r="I97" s="231"/>
      <c r="J97" s="249"/>
      <c r="K97" s="246"/>
      <c r="L97" s="246"/>
      <c r="M97" s="292"/>
      <c r="N97" s="247"/>
      <c r="P97" s="231"/>
      <c r="Q97" s="249"/>
      <c r="R97" s="246"/>
      <c r="S97" s="246"/>
      <c r="T97" s="292"/>
      <c r="U97" s="247"/>
      <c r="W97" s="238"/>
      <c r="X97" s="239"/>
      <c r="Y97" s="240"/>
      <c r="Z97" s="240"/>
      <c r="AA97" s="240"/>
      <c r="AB97" s="241"/>
    </row>
    <row r="98" spans="2:29" ht="16.5" customHeight="1">
      <c r="B98" s="426" t="s">
        <v>170</v>
      </c>
      <c r="C98" s="429">
        <f>COUNTIFS('1. All Data'!$AC$3:$AC$129,"Regulatory &amp; Community Support",'1. All Data'!$I$3:$I$129,"In Danger of Falling Behind Target")</f>
        <v>1</v>
      </c>
      <c r="D98" s="434">
        <f>C98/C109</f>
        <v>9.0909090909090912E-2</v>
      </c>
      <c r="E98" s="434">
        <f>D98</f>
        <v>9.0909090909090912E-2</v>
      </c>
      <c r="F98" s="420">
        <f>C98/C110</f>
        <v>0.1</v>
      </c>
      <c r="G98" s="423">
        <f>F98</f>
        <v>0.1</v>
      </c>
      <c r="I98" s="426" t="s">
        <v>170</v>
      </c>
      <c r="J98" s="429">
        <f>COUNTIFS('1. All Data'!$AC$3:$AC$129,"Regulatory &amp; Community Support",'1. All Data'!$N$3:$N$129,"In Danger of Falling Behind Target")</f>
        <v>1</v>
      </c>
      <c r="K98" s="434">
        <f>J98/J109</f>
        <v>9.0909090909090912E-2</v>
      </c>
      <c r="L98" s="434">
        <f>K98</f>
        <v>9.0909090909090912E-2</v>
      </c>
      <c r="M98" s="420">
        <f>J98/J110</f>
        <v>0.1111111111111111</v>
      </c>
      <c r="N98" s="423">
        <f>M98</f>
        <v>0.1111111111111111</v>
      </c>
      <c r="P98" s="426" t="s">
        <v>170</v>
      </c>
      <c r="Q98" s="429">
        <f>COUNTIFS('1. All Data'!$AC$3:$AC$129,"Regulatory &amp; Community Support",'1. All Data'!$S$3:$S$129,"In Danger of Falling Behind Target")</f>
        <v>0</v>
      </c>
      <c r="R98" s="434" t="e">
        <f>Q98/Q109</f>
        <v>#DIV/0!</v>
      </c>
      <c r="S98" s="434" t="e">
        <f>R98</f>
        <v>#DIV/0!</v>
      </c>
      <c r="T98" s="420" t="e">
        <f>Q98/Q110</f>
        <v>#DIV/0!</v>
      </c>
      <c r="U98" s="423" t="e">
        <f>T98</f>
        <v>#DIV/0!</v>
      </c>
      <c r="W98" s="244" t="s">
        <v>162</v>
      </c>
      <c r="X98" s="245">
        <f>COUNTIFS('1. All Data'!$AC$3:$AC$129,"Regulatory &amp; Community Support",'1. All Data'!$W$3:$W$129,"Numerical Outturn Within 10% Tolerance")</f>
        <v>0</v>
      </c>
      <c r="Y98" s="237" t="e">
        <f>X98/X109</f>
        <v>#DIV/0!</v>
      </c>
      <c r="Z98" s="395" t="e">
        <f>SUM(Y98:Y100)</f>
        <v>#DIV/0!</v>
      </c>
      <c r="AA98" s="237" t="e">
        <f>X98/X110</f>
        <v>#DIV/0!</v>
      </c>
      <c r="AB98" s="396" t="e">
        <f>SUM(AA98:AA100)</f>
        <v>#DIV/0!</v>
      </c>
      <c r="AC98" s="234"/>
    </row>
    <row r="99" spans="2:29" ht="16.5" customHeight="1">
      <c r="B99" s="427"/>
      <c r="C99" s="430"/>
      <c r="D99" s="435"/>
      <c r="E99" s="435"/>
      <c r="F99" s="421"/>
      <c r="G99" s="424"/>
      <c r="I99" s="427"/>
      <c r="J99" s="430"/>
      <c r="K99" s="435"/>
      <c r="L99" s="435"/>
      <c r="M99" s="421"/>
      <c r="N99" s="424"/>
      <c r="P99" s="427"/>
      <c r="Q99" s="430"/>
      <c r="R99" s="435"/>
      <c r="S99" s="435"/>
      <c r="T99" s="421"/>
      <c r="U99" s="424"/>
      <c r="W99" s="244" t="s">
        <v>163</v>
      </c>
      <c r="X99" s="245">
        <f>COUNTIFS('1. All Data'!$AC$3:$AC$129,"Regulatory &amp; Community Support",'1. All Data'!$W$3:$W$129,"Target Partially Met")</f>
        <v>0</v>
      </c>
      <c r="Y99" s="237" t="e">
        <f>X99/X109</f>
        <v>#DIV/0!</v>
      </c>
      <c r="Z99" s="395"/>
      <c r="AA99" s="237" t="e">
        <f>X99/X110</f>
        <v>#DIV/0!</v>
      </c>
      <c r="AB99" s="396"/>
      <c r="AC99" s="234"/>
    </row>
    <row r="100" spans="2:29" ht="16.5" customHeight="1">
      <c r="B100" s="428"/>
      <c r="C100" s="431"/>
      <c r="D100" s="436"/>
      <c r="E100" s="436"/>
      <c r="F100" s="422"/>
      <c r="G100" s="425"/>
      <c r="I100" s="428"/>
      <c r="J100" s="431"/>
      <c r="K100" s="436"/>
      <c r="L100" s="436"/>
      <c r="M100" s="422"/>
      <c r="N100" s="425"/>
      <c r="P100" s="428"/>
      <c r="Q100" s="431"/>
      <c r="R100" s="436"/>
      <c r="S100" s="436"/>
      <c r="T100" s="422"/>
      <c r="U100" s="425"/>
      <c r="W100" s="244" t="s">
        <v>166</v>
      </c>
      <c r="X100" s="245">
        <f>COUNTIFS('1. All Data'!$AC$3:$AC$129,"Regulatory &amp; Community Support",'1. All Data'!$W$3:$W$129,"Completion Date Within Reasonable Tolerance")</f>
        <v>0</v>
      </c>
      <c r="Y100" s="237" t="e">
        <f>X100/X109</f>
        <v>#DIV/0!</v>
      </c>
      <c r="Z100" s="395"/>
      <c r="AA100" s="237" t="e">
        <f>X100/X110</f>
        <v>#DIV/0!</v>
      </c>
      <c r="AB100" s="396"/>
      <c r="AC100" s="234"/>
    </row>
    <row r="101" spans="2:29" s="234" customFormat="1" ht="6" customHeight="1">
      <c r="B101" s="231"/>
      <c r="C101" s="232"/>
      <c r="D101" s="246"/>
      <c r="E101" s="246"/>
      <c r="F101" s="292"/>
      <c r="G101" s="247"/>
      <c r="I101" s="231"/>
      <c r="J101" s="232"/>
      <c r="K101" s="246"/>
      <c r="L101" s="246"/>
      <c r="M101" s="292"/>
      <c r="N101" s="247"/>
      <c r="P101" s="231"/>
      <c r="Q101" s="232"/>
      <c r="R101" s="246"/>
      <c r="S101" s="246"/>
      <c r="T101" s="292"/>
      <c r="U101" s="247"/>
      <c r="W101" s="231"/>
      <c r="X101" s="232"/>
      <c r="Y101" s="246"/>
      <c r="Z101" s="246"/>
      <c r="AA101" s="246"/>
      <c r="AB101" s="247"/>
    </row>
    <row r="102" spans="2:29" ht="22.5" customHeight="1">
      <c r="B102" s="293" t="s">
        <v>171</v>
      </c>
      <c r="C102" s="289">
        <f>COUNTIFS('1. All Data'!$AC$3:$AC$129,"Regulatory &amp; Community Support",'1. All Data'!$I$3:$I$129,"Completed Behind Schedule")</f>
        <v>0</v>
      </c>
      <c r="D102" s="290">
        <f>C102/C109</f>
        <v>0</v>
      </c>
      <c r="E102" s="432">
        <f>D102+D103</f>
        <v>0</v>
      </c>
      <c r="F102" s="291">
        <f>C102/C110</f>
        <v>0</v>
      </c>
      <c r="G102" s="433">
        <f>F102+F103</f>
        <v>0</v>
      </c>
      <c r="I102" s="293" t="s">
        <v>171</v>
      </c>
      <c r="J102" s="289">
        <f>COUNTIFS('1. All Data'!$AC$3:$AC$129,"Regulatory &amp; Community Support",'1. All Data'!$N$3:$N$129,"Completed Behind Schedule")</f>
        <v>0</v>
      </c>
      <c r="K102" s="290">
        <f>J102/J109</f>
        <v>0</v>
      </c>
      <c r="L102" s="432">
        <f>K102+K103</f>
        <v>0</v>
      </c>
      <c r="M102" s="291">
        <f>J102/J110</f>
        <v>0</v>
      </c>
      <c r="N102" s="433">
        <f>M102+M103</f>
        <v>0</v>
      </c>
      <c r="P102" s="293" t="s">
        <v>171</v>
      </c>
      <c r="Q102" s="289">
        <f>COUNTIFS('1. All Data'!$AC$3:$AC$129,"Regulatory &amp; Community Support",'1. All Data'!$S$3:$S$129,"Completed Behind Schedule")</f>
        <v>0</v>
      </c>
      <c r="R102" s="290" t="e">
        <f>Q102/Q109</f>
        <v>#DIV/0!</v>
      </c>
      <c r="S102" s="432" t="e">
        <f>R102+R103</f>
        <v>#DIV/0!</v>
      </c>
      <c r="T102" s="291" t="e">
        <f>Q102/Q110</f>
        <v>#DIV/0!</v>
      </c>
      <c r="U102" s="433" t="e">
        <f>T102+T103</f>
        <v>#DIV/0!</v>
      </c>
      <c r="W102" s="248" t="s">
        <v>165</v>
      </c>
      <c r="X102" s="289">
        <f>COUNTIFS('1. All Data'!$AC$3:$AC$129,"Regulatory &amp; Community Support",'1. All Data'!$W$3:$W$129,"Completed Significantly After Target Deadline")</f>
        <v>0</v>
      </c>
      <c r="Y102" s="290" t="e">
        <f>X102/X109</f>
        <v>#DIV/0!</v>
      </c>
      <c r="Z102" s="432" t="e">
        <f>Y102+Y103</f>
        <v>#DIV/0!</v>
      </c>
      <c r="AA102" s="237" t="e">
        <f>X102/X110</f>
        <v>#DIV/0!</v>
      </c>
      <c r="AB102" s="397" t="e">
        <f>AA102+AA103</f>
        <v>#DIV/0!</v>
      </c>
      <c r="AC102" s="234"/>
    </row>
    <row r="103" spans="2:29" ht="22.5" customHeight="1">
      <c r="B103" s="293" t="s">
        <v>164</v>
      </c>
      <c r="C103" s="289">
        <f>COUNTIFS('1. All Data'!$AC$3:$AC$129,"Regulatory &amp; Community Support",'1. All Data'!$I$3:$I$129,"Off Target")</f>
        <v>0</v>
      </c>
      <c r="D103" s="290">
        <f>C103/C109</f>
        <v>0</v>
      </c>
      <c r="E103" s="432"/>
      <c r="F103" s="291">
        <f>C103/C110</f>
        <v>0</v>
      </c>
      <c r="G103" s="433"/>
      <c r="I103" s="293" t="s">
        <v>164</v>
      </c>
      <c r="J103" s="289">
        <f>COUNTIFS('1. All Data'!$AC$3:$AC$129,"Regulatory &amp; Community Support",'1. All Data'!$N$3:$N$129,"Off Target")</f>
        <v>0</v>
      </c>
      <c r="K103" s="290">
        <f>J103/J109</f>
        <v>0</v>
      </c>
      <c r="L103" s="432"/>
      <c r="M103" s="291">
        <f>J103/J110</f>
        <v>0</v>
      </c>
      <c r="N103" s="433"/>
      <c r="P103" s="293" t="s">
        <v>164</v>
      </c>
      <c r="Q103" s="289">
        <f>COUNTIFS('1. All Data'!$AC$3:$AC$129,"Regulatory &amp; Community Support",'1. All Data'!$S$3:$S$129,"Off Target")</f>
        <v>0</v>
      </c>
      <c r="R103" s="290" t="e">
        <f>Q103/Q109</f>
        <v>#DIV/0!</v>
      </c>
      <c r="S103" s="432"/>
      <c r="T103" s="291" t="e">
        <f>Q103/Q110</f>
        <v>#DIV/0!</v>
      </c>
      <c r="U103" s="433"/>
      <c r="W103" s="248" t="s">
        <v>164</v>
      </c>
      <c r="X103" s="289">
        <f>COUNTIFS('1. All Data'!$AC$3:$AC$129,"Regulatory &amp; Community Support",'1. All Data'!$S$3:$S$129,"Off Target")</f>
        <v>0</v>
      </c>
      <c r="Y103" s="290" t="e">
        <f>X103/X109</f>
        <v>#DIV/0!</v>
      </c>
      <c r="Z103" s="432"/>
      <c r="AA103" s="237" t="e">
        <f>X103/X110</f>
        <v>#DIV/0!</v>
      </c>
      <c r="AB103" s="397"/>
      <c r="AC103" s="234"/>
    </row>
    <row r="104" spans="2:29" s="234" customFormat="1" ht="6.75" customHeight="1">
      <c r="B104" s="231"/>
      <c r="C104" s="249"/>
      <c r="D104" s="246"/>
      <c r="E104" s="246"/>
      <c r="F104" s="292"/>
      <c r="G104" s="250"/>
      <c r="I104" s="231"/>
      <c r="J104" s="249"/>
      <c r="K104" s="246"/>
      <c r="L104" s="246"/>
      <c r="M104" s="292"/>
      <c r="N104" s="250"/>
      <c r="P104" s="231"/>
      <c r="Q104" s="249"/>
      <c r="R104" s="246"/>
      <c r="S104" s="246"/>
      <c r="T104" s="292"/>
      <c r="U104" s="250"/>
      <c r="W104" s="231"/>
      <c r="X104" s="249"/>
      <c r="Y104" s="246"/>
      <c r="Z104" s="246"/>
      <c r="AA104" s="246"/>
      <c r="AB104" s="250"/>
    </row>
    <row r="105" spans="2:29" ht="15.75" customHeight="1">
      <c r="B105" s="295" t="s">
        <v>193</v>
      </c>
      <c r="C105" s="289">
        <f>COUNTIFS('1. All Data'!$AC$3:$AC$129,"Regulatory &amp; Community Support",'1. All Data'!$I$3:$I$129,"Not yet due")</f>
        <v>0</v>
      </c>
      <c r="D105" s="296">
        <f>C105/C109</f>
        <v>0</v>
      </c>
      <c r="E105" s="296">
        <f>D105</f>
        <v>0</v>
      </c>
      <c r="F105" s="297"/>
      <c r="G105" s="65"/>
      <c r="I105" s="295" t="s">
        <v>193</v>
      </c>
      <c r="J105" s="289">
        <f>COUNTIFS('1. All Data'!$AC$3:$AC$129,"Regulatory &amp; Community Support",'1. All Data'!$N$3:$N$129,"Not yet due")</f>
        <v>1</v>
      </c>
      <c r="K105" s="296">
        <f>J105/J109</f>
        <v>9.0909090909090912E-2</v>
      </c>
      <c r="L105" s="296">
        <f>K105</f>
        <v>9.0909090909090912E-2</v>
      </c>
      <c r="M105" s="297"/>
      <c r="N105" s="65"/>
      <c r="P105" s="295" t="s">
        <v>193</v>
      </c>
      <c r="Q105" s="289">
        <f>COUNTIFS('1. All Data'!$AC$3:$AC$129,"Regulatory &amp; Community Support",'1. All Data'!$S$3:$S$129,"Not yet due")</f>
        <v>0</v>
      </c>
      <c r="R105" s="296" t="e">
        <f>Q105/Q109</f>
        <v>#DIV/0!</v>
      </c>
      <c r="S105" s="296" t="e">
        <f>R105</f>
        <v>#DIV/0!</v>
      </c>
      <c r="T105" s="297"/>
      <c r="U105" s="65"/>
      <c r="W105" s="251" t="s">
        <v>193</v>
      </c>
      <c r="X105" s="289">
        <f>COUNTIFS('1. All Data'!$AC$3:$AC$129,"Regulatory &amp; Community Support",'1. All Data'!$W$3:$W$129,"Not yet due")</f>
        <v>0</v>
      </c>
      <c r="Y105" s="296" t="e">
        <f>X105/X109</f>
        <v>#DIV/0!</v>
      </c>
      <c r="Z105" s="296" t="e">
        <f>Y105</f>
        <v>#DIV/0!</v>
      </c>
      <c r="AA105" s="253"/>
      <c r="AB105" s="65"/>
      <c r="AC105" s="234"/>
    </row>
    <row r="106" spans="2:29" ht="15.75" customHeight="1">
      <c r="B106" s="295" t="s">
        <v>159</v>
      </c>
      <c r="C106" s="289">
        <f>COUNTIFS('1. All Data'!$AC$3:$AC$129,"Regulatory &amp; Community Support",'1. All Data'!$I$3:$I$129,"Update not provided")</f>
        <v>0</v>
      </c>
      <c r="D106" s="296">
        <f>C106/C109</f>
        <v>0</v>
      </c>
      <c r="E106" s="296">
        <f>D106</f>
        <v>0</v>
      </c>
      <c r="F106" s="297"/>
      <c r="G106" s="8"/>
      <c r="I106" s="295" t="s">
        <v>159</v>
      </c>
      <c r="J106" s="289">
        <f>COUNTIFS('1. All Data'!$AC$3:$AC$129,"Regulatory &amp; Community Support",'1. All Data'!$N$3:$N$129,"Update not provided")</f>
        <v>0</v>
      </c>
      <c r="K106" s="296">
        <f>J106/J109</f>
        <v>0</v>
      </c>
      <c r="L106" s="296">
        <f>K106</f>
        <v>0</v>
      </c>
      <c r="M106" s="297"/>
      <c r="N106" s="8"/>
      <c r="P106" s="295" t="s">
        <v>159</v>
      </c>
      <c r="Q106" s="289">
        <f>COUNTIFS('1. All Data'!$AC$3:$AC$129,"Regulatory &amp; Community Support",'1. All Data'!$S$3:$S$129,"Update not provided")</f>
        <v>0</v>
      </c>
      <c r="R106" s="296" t="e">
        <f>Q106/Q109</f>
        <v>#DIV/0!</v>
      </c>
      <c r="S106" s="296" t="e">
        <f>R106</f>
        <v>#DIV/0!</v>
      </c>
      <c r="T106" s="297"/>
      <c r="U106" s="8"/>
      <c r="W106" s="251" t="s">
        <v>159</v>
      </c>
      <c r="X106" s="289">
        <f>COUNTIFS('1. All Data'!$AC$3:$AC$129,"Regulatory &amp; Community Support",'1. All Data'!$W$3:$W$129,"Update not provided")</f>
        <v>0</v>
      </c>
      <c r="Y106" s="296" t="e">
        <f>X106/X109</f>
        <v>#DIV/0!</v>
      </c>
      <c r="Z106" s="296" t="e">
        <f>Y106</f>
        <v>#DIV/0!</v>
      </c>
      <c r="AA106" s="253"/>
      <c r="AB106" s="8"/>
      <c r="AC106" s="234"/>
    </row>
    <row r="107" spans="2:29" ht="15.75" customHeight="1">
      <c r="B107" s="298" t="s">
        <v>167</v>
      </c>
      <c r="C107" s="289">
        <f>COUNTIFS('1. All Data'!$AC$3:$AC$129,"Regulatory &amp; Community Support",'1. All Data'!$I$3:$I$129,"Deferred")</f>
        <v>1</v>
      </c>
      <c r="D107" s="299">
        <f>C107/C109</f>
        <v>9.0909090909090912E-2</v>
      </c>
      <c r="E107" s="299">
        <f>D107</f>
        <v>9.0909090909090912E-2</v>
      </c>
      <c r="F107" s="300"/>
      <c r="G107" s="65"/>
      <c r="I107" s="298" t="s">
        <v>167</v>
      </c>
      <c r="J107" s="289">
        <f>COUNTIFS('1. All Data'!$AC$3:$AC$129,"Regulatory &amp; Community Support",'1. All Data'!$N$3:$N$129,"Deferred")</f>
        <v>1</v>
      </c>
      <c r="K107" s="299">
        <f>J107/J109</f>
        <v>9.0909090909090912E-2</v>
      </c>
      <c r="L107" s="299">
        <f>K107</f>
        <v>9.0909090909090912E-2</v>
      </c>
      <c r="M107" s="300"/>
      <c r="N107" s="65"/>
      <c r="P107" s="298" t="s">
        <v>167</v>
      </c>
      <c r="Q107" s="289">
        <f>COUNTIFS('1. All Data'!$AC$3:$AC$129,"Regulatory &amp; Community Support",'1. All Data'!$S$3:$S$129,"Deferred")</f>
        <v>0</v>
      </c>
      <c r="R107" s="299" t="e">
        <f>Q107/Q109</f>
        <v>#DIV/0!</v>
      </c>
      <c r="S107" s="299" t="e">
        <f>R107</f>
        <v>#DIV/0!</v>
      </c>
      <c r="T107" s="300"/>
      <c r="U107" s="65"/>
      <c r="W107" s="254" t="s">
        <v>167</v>
      </c>
      <c r="X107" s="289">
        <f>COUNTIFS('1. All Data'!$AC$3:$AC$129,"Regulatory &amp; Community Support",'1. All Data'!$W$3:$W$129,"Deferred")</f>
        <v>0</v>
      </c>
      <c r="Y107" s="299" t="e">
        <f>X107/X109</f>
        <v>#DIV/0!</v>
      </c>
      <c r="Z107" s="299" t="e">
        <f>Y107</f>
        <v>#DIV/0!</v>
      </c>
      <c r="AA107" s="256"/>
      <c r="AB107" s="65"/>
      <c r="AC107" s="234"/>
    </row>
    <row r="108" spans="2:29" ht="15.75" customHeight="1">
      <c r="B108" s="298" t="s">
        <v>168</v>
      </c>
      <c r="C108" s="289">
        <f>COUNTIFS('1. All Data'!$AC$3:$AC$129,"Regulatory &amp; Community Support",'1. All Data'!$I$3:$I$129,"Deleted")</f>
        <v>0</v>
      </c>
      <c r="D108" s="299">
        <f>C108/C109</f>
        <v>0</v>
      </c>
      <c r="E108" s="299">
        <f>D108</f>
        <v>0</v>
      </c>
      <c r="F108" s="300"/>
      <c r="G108" s="36" t="s">
        <v>194</v>
      </c>
      <c r="I108" s="298" t="s">
        <v>168</v>
      </c>
      <c r="J108" s="289">
        <f>COUNTIFS('1. All Data'!$AC$3:$AC$129,"Regulatory &amp; Community Support",'1. All Data'!$N$3:$N$129,"Deleted")</f>
        <v>0</v>
      </c>
      <c r="K108" s="299">
        <f>J108/J109</f>
        <v>0</v>
      </c>
      <c r="L108" s="299">
        <f>K108</f>
        <v>0</v>
      </c>
      <c r="M108" s="300"/>
      <c r="N108" s="36" t="s">
        <v>194</v>
      </c>
      <c r="P108" s="298" t="s">
        <v>168</v>
      </c>
      <c r="Q108" s="289">
        <f>COUNTIFS('1. All Data'!$AC$3:$AC$129,"Regulatory &amp; Community Support",'1. All Data'!$S$3:$S$129,"Deleted")</f>
        <v>0</v>
      </c>
      <c r="R108" s="299" t="e">
        <f>Q108/Q109</f>
        <v>#DIV/0!</v>
      </c>
      <c r="S108" s="299" t="e">
        <f>R108</f>
        <v>#DIV/0!</v>
      </c>
      <c r="T108" s="300"/>
      <c r="U108" s="36" t="s">
        <v>194</v>
      </c>
      <c r="W108" s="254" t="s">
        <v>168</v>
      </c>
      <c r="X108" s="289">
        <f>COUNTIFS('1. All Data'!$AC$3:$AC$129,"Regulatory &amp; Community Support",'1. All Data'!$W$3:$W$129,"Deleted")</f>
        <v>0</v>
      </c>
      <c r="Y108" s="299" t="e">
        <f>X108/X109</f>
        <v>#DIV/0!</v>
      </c>
      <c r="Z108" s="299" t="e">
        <f>Y108</f>
        <v>#DIV/0!</v>
      </c>
      <c r="AA108" s="256"/>
      <c r="AB108" s="9" t="s">
        <v>194</v>
      </c>
      <c r="AC108" s="234"/>
    </row>
    <row r="109" spans="2:29" ht="15.75" customHeight="1">
      <c r="B109" s="301" t="s">
        <v>195</v>
      </c>
      <c r="C109" s="302">
        <f>SUM(C95:C108)</f>
        <v>11</v>
      </c>
      <c r="D109" s="256"/>
      <c r="E109" s="256"/>
      <c r="F109" s="303"/>
      <c r="G109" s="65"/>
      <c r="I109" s="301" t="s">
        <v>195</v>
      </c>
      <c r="J109" s="302">
        <f>SUM(J95:J108)</f>
        <v>11</v>
      </c>
      <c r="K109" s="256"/>
      <c r="L109" s="256"/>
      <c r="M109" s="303"/>
      <c r="N109" s="65"/>
      <c r="P109" s="301" t="s">
        <v>195</v>
      </c>
      <c r="Q109" s="302">
        <f>SUM(Q95:Q108)</f>
        <v>0</v>
      </c>
      <c r="R109" s="256"/>
      <c r="S109" s="256"/>
      <c r="T109" s="303"/>
      <c r="U109" s="65"/>
      <c r="W109" s="257" t="s">
        <v>195</v>
      </c>
      <c r="X109" s="302">
        <f>SUM(X95:X108)</f>
        <v>0</v>
      </c>
      <c r="Y109" s="256"/>
      <c r="Z109" s="256"/>
      <c r="AA109" s="65"/>
      <c r="AB109" s="65"/>
      <c r="AC109" s="234"/>
    </row>
    <row r="110" spans="2:29" ht="15.75" customHeight="1">
      <c r="B110" s="301" t="s">
        <v>196</v>
      </c>
      <c r="C110" s="302">
        <f>C109-C108-C107-C106-C105</f>
        <v>10</v>
      </c>
      <c r="D110" s="65"/>
      <c r="E110" s="65"/>
      <c r="F110" s="303"/>
      <c r="G110" s="65"/>
      <c r="I110" s="301" t="s">
        <v>196</v>
      </c>
      <c r="J110" s="302">
        <f>J109-J108-J107-J106-J105</f>
        <v>9</v>
      </c>
      <c r="K110" s="65"/>
      <c r="L110" s="65"/>
      <c r="M110" s="303"/>
      <c r="N110" s="65"/>
      <c r="P110" s="301" t="s">
        <v>196</v>
      </c>
      <c r="Q110" s="302">
        <f>Q109-Q108-Q107-Q106-Q105</f>
        <v>0</v>
      </c>
      <c r="R110" s="65"/>
      <c r="S110" s="65"/>
      <c r="T110" s="303"/>
      <c r="U110" s="65"/>
      <c r="W110" s="257" t="s">
        <v>196</v>
      </c>
      <c r="X110" s="302">
        <f>X109-X108-X107-X106-X105</f>
        <v>0</v>
      </c>
      <c r="Y110" s="65"/>
      <c r="Z110" s="65"/>
      <c r="AA110" s="65"/>
      <c r="AB110" s="65"/>
      <c r="AC110" s="234"/>
    </row>
    <row r="111" spans="2:29" ht="15.75" customHeight="1">
      <c r="W111" s="259"/>
      <c r="AA111" s="8"/>
      <c r="AC111" s="234"/>
    </row>
    <row r="112" spans="2:29" ht="15.75" customHeight="1">
      <c r="W112" s="233"/>
      <c r="X112" s="233"/>
      <c r="Y112" s="233"/>
      <c r="Z112" s="233"/>
      <c r="AA112" s="233"/>
      <c r="AB112" s="266"/>
      <c r="AC112" s="234"/>
    </row>
    <row r="113" spans="23:29" ht="15.75" customHeight="1">
      <c r="W113" s="233"/>
      <c r="X113" s="233"/>
      <c r="Y113" s="233"/>
      <c r="Z113" s="233"/>
      <c r="AA113" s="233"/>
      <c r="AB113" s="266"/>
      <c r="AC113" s="234"/>
    </row>
    <row r="114" spans="23:29">
      <c r="W114" s="233"/>
      <c r="X114" s="233"/>
      <c r="Y114" s="233"/>
      <c r="Z114" s="233"/>
      <c r="AA114" s="233"/>
      <c r="AB114" s="266"/>
      <c r="AC114" s="234"/>
    </row>
    <row r="115" spans="23:29">
      <c r="W115" s="233"/>
      <c r="X115" s="233"/>
      <c r="Y115" s="233"/>
      <c r="Z115" s="233"/>
      <c r="AA115" s="233"/>
      <c r="AB115" s="266"/>
      <c r="AC115" s="234"/>
    </row>
    <row r="116" spans="23:29">
      <c r="W116" s="233"/>
      <c r="X116" s="233"/>
      <c r="Y116" s="233"/>
      <c r="Z116" s="233"/>
      <c r="AA116" s="233"/>
      <c r="AB116" s="266"/>
      <c r="AC116" s="234"/>
    </row>
    <row r="117" spans="23:29">
      <c r="W117" s="233"/>
      <c r="X117" s="233"/>
      <c r="Y117" s="233"/>
      <c r="Z117" s="233"/>
      <c r="AA117" s="233"/>
      <c r="AB117" s="266"/>
      <c r="AC117" s="234"/>
    </row>
    <row r="118" spans="23:29">
      <c r="W118" s="233"/>
      <c r="X118" s="233"/>
      <c r="Y118" s="233"/>
      <c r="Z118" s="233"/>
      <c r="AA118" s="233"/>
      <c r="AB118" s="266"/>
      <c r="AC118" s="234"/>
    </row>
    <row r="119" spans="23:29">
      <c r="W119" s="233"/>
      <c r="X119" s="233"/>
      <c r="Y119" s="233"/>
      <c r="Z119" s="233"/>
      <c r="AA119" s="233"/>
      <c r="AB119" s="266"/>
      <c r="AC119" s="234"/>
    </row>
    <row r="120" spans="23:29">
      <c r="W120" s="233"/>
      <c r="X120" s="233"/>
      <c r="Y120" s="233"/>
      <c r="Z120" s="233"/>
      <c r="AA120" s="233"/>
      <c r="AB120" s="266"/>
      <c r="AC120" s="234"/>
    </row>
    <row r="121" spans="23:29">
      <c r="W121" s="233"/>
      <c r="X121" s="233"/>
      <c r="Y121" s="233"/>
      <c r="Z121" s="233"/>
      <c r="AA121" s="233"/>
      <c r="AB121" s="266"/>
      <c r="AC121" s="234"/>
    </row>
    <row r="122" spans="23:29">
      <c r="W122" s="233"/>
      <c r="X122" s="233"/>
      <c r="Y122" s="233"/>
      <c r="Z122" s="233"/>
      <c r="AA122" s="233"/>
      <c r="AB122" s="266"/>
      <c r="AC122" s="234"/>
    </row>
    <row r="123" spans="23:29">
      <c r="W123" s="233"/>
      <c r="X123" s="233"/>
      <c r="Y123" s="233"/>
      <c r="Z123" s="233"/>
      <c r="AA123" s="233"/>
      <c r="AB123" s="266"/>
      <c r="AC123" s="234"/>
    </row>
    <row r="124" spans="23:29">
      <c r="W124" s="233"/>
      <c r="X124" s="233"/>
      <c r="Y124" s="233"/>
      <c r="Z124" s="233"/>
      <c r="AA124" s="233"/>
      <c r="AB124" s="266"/>
      <c r="AC124" s="234"/>
    </row>
    <row r="125" spans="23:29">
      <c r="W125" s="233"/>
      <c r="X125" s="233"/>
      <c r="Y125" s="233"/>
      <c r="Z125" s="233"/>
      <c r="AA125" s="233"/>
      <c r="AB125" s="266"/>
      <c r="AC125" s="234"/>
    </row>
    <row r="126" spans="23:29">
      <c r="W126" s="233"/>
      <c r="X126" s="233"/>
      <c r="Y126" s="233"/>
      <c r="Z126" s="233"/>
      <c r="AA126" s="233"/>
      <c r="AB126" s="266"/>
      <c r="AC126" s="234"/>
    </row>
    <row r="127" spans="23:29">
      <c r="W127" s="233"/>
      <c r="X127" s="233"/>
      <c r="Y127" s="233"/>
      <c r="Z127" s="233"/>
      <c r="AA127" s="233"/>
      <c r="AB127" s="266"/>
      <c r="AC127" s="234"/>
    </row>
    <row r="128" spans="23:29">
      <c r="W128" s="233"/>
      <c r="X128" s="233"/>
      <c r="Y128" s="233"/>
      <c r="Z128" s="233"/>
      <c r="AA128" s="233"/>
      <c r="AB128" s="266"/>
      <c r="AC128" s="234"/>
    </row>
    <row r="129" spans="23:29">
      <c r="W129" s="233"/>
      <c r="X129" s="233"/>
      <c r="Y129" s="233"/>
      <c r="Z129" s="233"/>
      <c r="AA129" s="233"/>
      <c r="AB129" s="266"/>
      <c r="AC129" s="234"/>
    </row>
    <row r="130" spans="23:29">
      <c r="W130" s="233"/>
      <c r="X130" s="233"/>
      <c r="Y130" s="233"/>
      <c r="Z130" s="233"/>
      <c r="AA130" s="233"/>
      <c r="AB130" s="266"/>
      <c r="AC130" s="234"/>
    </row>
    <row r="131" spans="23:29">
      <c r="W131" s="233"/>
      <c r="X131" s="233"/>
      <c r="Y131" s="233"/>
      <c r="Z131" s="233"/>
      <c r="AA131" s="233"/>
      <c r="AB131" s="266"/>
      <c r="AC131" s="234"/>
    </row>
    <row r="132" spans="23:29">
      <c r="W132" s="233"/>
      <c r="X132" s="233"/>
      <c r="Y132" s="233"/>
      <c r="Z132" s="233"/>
      <c r="AA132" s="233"/>
      <c r="AB132" s="266"/>
      <c r="AC132" s="234"/>
    </row>
    <row r="133" spans="23:29">
      <c r="W133" s="233"/>
      <c r="X133" s="233"/>
      <c r="Y133" s="233"/>
      <c r="Z133" s="233"/>
      <c r="AA133" s="233"/>
      <c r="AB133" s="266"/>
      <c r="AC133" s="234"/>
    </row>
    <row r="134" spans="23:29">
      <c r="W134" s="233"/>
      <c r="X134" s="233"/>
      <c r="Y134" s="233"/>
      <c r="Z134" s="233"/>
      <c r="AA134" s="233"/>
      <c r="AB134" s="266"/>
      <c r="AC134" s="234"/>
    </row>
    <row r="135" spans="23:29">
      <c r="W135" s="233"/>
      <c r="X135" s="233"/>
      <c r="Y135" s="233"/>
      <c r="Z135" s="233"/>
      <c r="AA135" s="233"/>
      <c r="AB135" s="266"/>
      <c r="AC135" s="234"/>
    </row>
    <row r="136" spans="23:29">
      <c r="W136" s="233"/>
      <c r="X136" s="233"/>
      <c r="Y136" s="233"/>
      <c r="Z136" s="233"/>
      <c r="AA136" s="233"/>
      <c r="AB136" s="266"/>
      <c r="AC136" s="234"/>
    </row>
    <row r="137" spans="23:29">
      <c r="W137" s="233"/>
      <c r="X137" s="233"/>
      <c r="Y137" s="233"/>
      <c r="Z137" s="233"/>
      <c r="AA137" s="233"/>
      <c r="AB137" s="266"/>
      <c r="AC137" s="234"/>
    </row>
    <row r="138" spans="23:29">
      <c r="W138" s="233"/>
      <c r="X138" s="233"/>
      <c r="Y138" s="233"/>
      <c r="Z138" s="233"/>
      <c r="AA138" s="233"/>
      <c r="AB138" s="266"/>
      <c r="AC138" s="234"/>
    </row>
    <row r="139" spans="23:29">
      <c r="W139" s="233"/>
      <c r="X139" s="233"/>
      <c r="Y139" s="233"/>
      <c r="Z139" s="233"/>
      <c r="AA139" s="233"/>
      <c r="AB139" s="266"/>
      <c r="AC139" s="234"/>
    </row>
    <row r="140" spans="23:29">
      <c r="W140" s="233"/>
      <c r="X140" s="233"/>
      <c r="Y140" s="233"/>
      <c r="Z140" s="233"/>
      <c r="AA140" s="233"/>
      <c r="AB140" s="266"/>
      <c r="AC140" s="234"/>
    </row>
    <row r="141" spans="23:29">
      <c r="W141" s="233"/>
      <c r="X141" s="233"/>
      <c r="Y141" s="233"/>
      <c r="Z141" s="233"/>
      <c r="AA141" s="233"/>
      <c r="AB141" s="266"/>
      <c r="AC141" s="234"/>
    </row>
    <row r="142" spans="23:29">
      <c r="W142" s="233"/>
      <c r="X142" s="233"/>
      <c r="Y142" s="233"/>
      <c r="Z142" s="233"/>
      <c r="AA142" s="233"/>
      <c r="AB142" s="266"/>
      <c r="AC142" s="234"/>
    </row>
    <row r="143" spans="23:29">
      <c r="W143" s="233"/>
      <c r="X143" s="233"/>
      <c r="Y143" s="233"/>
      <c r="Z143" s="233"/>
      <c r="AA143" s="233"/>
      <c r="AB143" s="266"/>
      <c r="AC143" s="234"/>
    </row>
    <row r="144" spans="23:29">
      <c r="W144" s="233"/>
      <c r="X144" s="233"/>
      <c r="Y144" s="233"/>
      <c r="Z144" s="233"/>
      <c r="AA144" s="233"/>
      <c r="AB144" s="266"/>
      <c r="AC144" s="234"/>
    </row>
    <row r="145" spans="23:29">
      <c r="W145" s="233"/>
      <c r="X145" s="233"/>
      <c r="Y145" s="233"/>
      <c r="Z145" s="233"/>
      <c r="AA145" s="233"/>
      <c r="AB145" s="266"/>
      <c r="AC145" s="234"/>
    </row>
    <row r="146" spans="23:29">
      <c r="W146" s="233"/>
      <c r="X146" s="233"/>
      <c r="Y146" s="233"/>
      <c r="Z146" s="233"/>
      <c r="AA146" s="233"/>
      <c r="AB146" s="266"/>
      <c r="AC146" s="234"/>
    </row>
    <row r="147" spans="23:29">
      <c r="W147" s="233"/>
      <c r="X147" s="233"/>
      <c r="Y147" s="233"/>
      <c r="Z147" s="233"/>
      <c r="AA147" s="233"/>
      <c r="AB147" s="266"/>
      <c r="AC147" s="234"/>
    </row>
    <row r="148" spans="23:29">
      <c r="W148" s="233"/>
      <c r="X148" s="233"/>
      <c r="Y148" s="233"/>
      <c r="Z148" s="233"/>
      <c r="AA148" s="233"/>
      <c r="AB148" s="266"/>
      <c r="AC148" s="234"/>
    </row>
    <row r="149" spans="23:29">
      <c r="W149" s="233"/>
      <c r="X149" s="233"/>
      <c r="Y149" s="233"/>
      <c r="Z149" s="233"/>
      <c r="AA149" s="233"/>
      <c r="AB149" s="266"/>
      <c r="AC149" s="234"/>
    </row>
    <row r="150" spans="23:29">
      <c r="W150" s="233"/>
      <c r="X150" s="233"/>
      <c r="Y150" s="233"/>
      <c r="Z150" s="233"/>
      <c r="AA150" s="233"/>
      <c r="AB150" s="266"/>
      <c r="AC150" s="234"/>
    </row>
    <row r="151" spans="23:29">
      <c r="W151" s="233"/>
      <c r="X151" s="233"/>
      <c r="Y151" s="233"/>
      <c r="Z151" s="233"/>
      <c r="AA151" s="233"/>
      <c r="AB151" s="266"/>
      <c r="AC151" s="234"/>
    </row>
    <row r="152" spans="23:29">
      <c r="W152" s="233"/>
      <c r="X152" s="233"/>
      <c r="Y152" s="233"/>
      <c r="Z152" s="233"/>
      <c r="AA152" s="233"/>
      <c r="AB152" s="266"/>
      <c r="AC152" s="234"/>
    </row>
    <row r="153" spans="23:29">
      <c r="W153" s="233"/>
      <c r="X153" s="233"/>
      <c r="Y153" s="233"/>
      <c r="Z153" s="233"/>
      <c r="AA153" s="233"/>
      <c r="AB153" s="266"/>
      <c r="AC153" s="234"/>
    </row>
    <row r="154" spans="23:29">
      <c r="W154" s="233"/>
      <c r="X154" s="233"/>
      <c r="Y154" s="233"/>
      <c r="Z154" s="233"/>
      <c r="AA154" s="233"/>
      <c r="AB154" s="266"/>
      <c r="AC154" s="234"/>
    </row>
    <row r="155" spans="23:29">
      <c r="W155" s="233"/>
      <c r="X155" s="233"/>
      <c r="Y155" s="233"/>
      <c r="Z155" s="233"/>
      <c r="AA155" s="233"/>
      <c r="AB155" s="266"/>
      <c r="AC155" s="234"/>
    </row>
    <row r="156" spans="23:29">
      <c r="W156" s="233"/>
      <c r="X156" s="233"/>
      <c r="Y156" s="233"/>
      <c r="Z156" s="233"/>
      <c r="AA156" s="233"/>
      <c r="AB156" s="266"/>
      <c r="AC156" s="234"/>
    </row>
    <row r="157" spans="23:29">
      <c r="W157" s="233"/>
      <c r="X157" s="233"/>
      <c r="Y157" s="233"/>
      <c r="Z157" s="233"/>
      <c r="AA157" s="233"/>
      <c r="AB157" s="266"/>
      <c r="AC157" s="234"/>
    </row>
    <row r="158" spans="23:29">
      <c r="W158" s="233"/>
      <c r="X158" s="233"/>
      <c r="Y158" s="233"/>
      <c r="Z158" s="233"/>
      <c r="AA158" s="233"/>
      <c r="AB158" s="266"/>
      <c r="AC158" s="234"/>
    </row>
    <row r="159" spans="23:29">
      <c r="W159" s="233"/>
      <c r="X159" s="233"/>
      <c r="Y159" s="233"/>
      <c r="Z159" s="233"/>
      <c r="AA159" s="233"/>
      <c r="AB159" s="266"/>
      <c r="AC159" s="234"/>
    </row>
    <row r="160" spans="23:29">
      <c r="W160" s="233"/>
      <c r="X160" s="233"/>
      <c r="Y160" s="233"/>
      <c r="Z160" s="233"/>
      <c r="AA160" s="233"/>
      <c r="AB160" s="266"/>
      <c r="AC160" s="234"/>
    </row>
    <row r="161" spans="23:29">
      <c r="W161" s="233"/>
      <c r="X161" s="233"/>
      <c r="Y161" s="233"/>
      <c r="Z161" s="233"/>
      <c r="AA161" s="233"/>
      <c r="AB161" s="266"/>
      <c r="AC161" s="234"/>
    </row>
    <row r="162" spans="23:29">
      <c r="W162" s="233"/>
      <c r="X162" s="233"/>
      <c r="Y162" s="233"/>
      <c r="Z162" s="233"/>
      <c r="AA162" s="233"/>
      <c r="AB162" s="266"/>
      <c r="AC162" s="234"/>
    </row>
    <row r="163" spans="23:29">
      <c r="W163" s="233"/>
      <c r="X163" s="233"/>
      <c r="Y163" s="233"/>
      <c r="Z163" s="233"/>
      <c r="AA163" s="233"/>
      <c r="AB163" s="266"/>
      <c r="AC163" s="234"/>
    </row>
    <row r="164" spans="23:29">
      <c r="W164" s="233"/>
      <c r="X164" s="233"/>
      <c r="Y164" s="233"/>
      <c r="Z164" s="233"/>
      <c r="AA164" s="233"/>
      <c r="AB164" s="266"/>
      <c r="AC164" s="234"/>
    </row>
    <row r="165" spans="23:29">
      <c r="W165" s="233"/>
      <c r="X165" s="233"/>
      <c r="Y165" s="233"/>
      <c r="Z165" s="233"/>
      <c r="AA165" s="233"/>
      <c r="AB165" s="266"/>
      <c r="AC165" s="234"/>
    </row>
    <row r="166" spans="23:29">
      <c r="W166" s="233"/>
      <c r="X166" s="233"/>
      <c r="Y166" s="233"/>
      <c r="Z166" s="233"/>
      <c r="AA166" s="233"/>
      <c r="AB166" s="266"/>
      <c r="AC166" s="234"/>
    </row>
    <row r="167" spans="23:29">
      <c r="W167" s="233"/>
      <c r="X167" s="233"/>
      <c r="Y167" s="233"/>
      <c r="Z167" s="233"/>
      <c r="AA167" s="233"/>
      <c r="AB167" s="266"/>
      <c r="AC167" s="234"/>
    </row>
    <row r="168" spans="23:29">
      <c r="W168" s="233"/>
      <c r="X168" s="233"/>
      <c r="Y168" s="233"/>
      <c r="Z168" s="233"/>
      <c r="AA168" s="233"/>
      <c r="AB168" s="266"/>
      <c r="AC168" s="234"/>
    </row>
    <row r="169" spans="23:29">
      <c r="W169" s="233"/>
      <c r="X169" s="233"/>
      <c r="Y169" s="233"/>
      <c r="Z169" s="233"/>
      <c r="AA169" s="233"/>
      <c r="AB169" s="266"/>
      <c r="AC169" s="234"/>
    </row>
    <row r="170" spans="23:29">
      <c r="W170" s="233"/>
      <c r="X170" s="233"/>
      <c r="Y170" s="233"/>
      <c r="Z170" s="233"/>
      <c r="AA170" s="233"/>
      <c r="AB170" s="266"/>
      <c r="AC170" s="234"/>
    </row>
    <row r="171" spans="23:29">
      <c r="W171" s="233"/>
      <c r="X171" s="233"/>
      <c r="Y171" s="233"/>
      <c r="Z171" s="233"/>
      <c r="AA171" s="233"/>
      <c r="AB171" s="266"/>
      <c r="AC171" s="234"/>
    </row>
    <row r="172" spans="23:29">
      <c r="W172" s="233"/>
      <c r="X172" s="233"/>
      <c r="Y172" s="233"/>
      <c r="Z172" s="233"/>
      <c r="AA172" s="233"/>
      <c r="AB172" s="266"/>
      <c r="AC172" s="234"/>
    </row>
    <row r="173" spans="23:29">
      <c r="W173" s="233"/>
      <c r="X173" s="233"/>
      <c r="Y173" s="233"/>
      <c r="Z173" s="233"/>
      <c r="AA173" s="233"/>
      <c r="AB173" s="266"/>
      <c r="AC173" s="234"/>
    </row>
    <row r="174" spans="23:29">
      <c r="W174" s="233"/>
      <c r="X174" s="233"/>
      <c r="Y174" s="233"/>
      <c r="Z174" s="233"/>
      <c r="AA174" s="233"/>
      <c r="AB174" s="266"/>
      <c r="AC174" s="234"/>
    </row>
    <row r="175" spans="23:29">
      <c r="W175" s="233"/>
      <c r="X175" s="233"/>
      <c r="Y175" s="233"/>
      <c r="Z175" s="233"/>
      <c r="AA175" s="233"/>
      <c r="AB175" s="266"/>
      <c r="AC175" s="234"/>
    </row>
    <row r="176" spans="23:29">
      <c r="W176" s="233"/>
      <c r="X176" s="233"/>
      <c r="Y176" s="233"/>
      <c r="Z176" s="233"/>
      <c r="AA176" s="233"/>
      <c r="AB176" s="266"/>
      <c r="AC176" s="234"/>
    </row>
    <row r="177" spans="23:29">
      <c r="W177" s="233"/>
      <c r="X177" s="233"/>
      <c r="Y177" s="233"/>
      <c r="Z177" s="233"/>
      <c r="AA177" s="233"/>
      <c r="AB177" s="266"/>
      <c r="AC177" s="234"/>
    </row>
    <row r="178" spans="23:29">
      <c r="W178" s="233"/>
      <c r="X178" s="233"/>
      <c r="Y178" s="233"/>
      <c r="Z178" s="233"/>
      <c r="AA178" s="233"/>
      <c r="AB178" s="266"/>
      <c r="AC178" s="234"/>
    </row>
    <row r="179" spans="23:29">
      <c r="W179" s="233"/>
      <c r="X179" s="233"/>
      <c r="Y179" s="233"/>
      <c r="Z179" s="233"/>
      <c r="AA179" s="233"/>
      <c r="AB179" s="266"/>
      <c r="AC179" s="234"/>
    </row>
    <row r="180" spans="23:29">
      <c r="W180" s="233"/>
      <c r="X180" s="233"/>
      <c r="Y180" s="233"/>
      <c r="Z180" s="233"/>
      <c r="AA180" s="233"/>
      <c r="AB180" s="266"/>
      <c r="AC180" s="234"/>
    </row>
    <row r="181" spans="23:29">
      <c r="W181" s="233"/>
      <c r="X181" s="233"/>
      <c r="Y181" s="233"/>
      <c r="Z181" s="233"/>
      <c r="AA181" s="233"/>
      <c r="AB181" s="266"/>
      <c r="AC181" s="234"/>
    </row>
    <row r="182" spans="23:29">
      <c r="W182" s="233"/>
      <c r="X182" s="233"/>
      <c r="Y182" s="233"/>
      <c r="Z182" s="233"/>
      <c r="AA182" s="233"/>
      <c r="AB182" s="266"/>
      <c r="AC182" s="234"/>
    </row>
    <row r="183" spans="23:29">
      <c r="W183" s="233"/>
      <c r="X183" s="233"/>
      <c r="Y183" s="233"/>
      <c r="Z183" s="233"/>
      <c r="AA183" s="233"/>
      <c r="AB183" s="266"/>
      <c r="AC183" s="234"/>
    </row>
    <row r="184" spans="23:29">
      <c r="W184" s="233"/>
      <c r="X184" s="233"/>
      <c r="Y184" s="233"/>
      <c r="Z184" s="233"/>
      <c r="AA184" s="233"/>
      <c r="AB184" s="266"/>
      <c r="AC184" s="234"/>
    </row>
    <row r="185" spans="23:29">
      <c r="W185" s="233"/>
      <c r="X185" s="233"/>
      <c r="Y185" s="233"/>
      <c r="Z185" s="233"/>
      <c r="AA185" s="233"/>
      <c r="AB185" s="266"/>
      <c r="AC185" s="234"/>
    </row>
    <row r="186" spans="23:29">
      <c r="W186" s="233"/>
      <c r="X186" s="233"/>
      <c r="Y186" s="233"/>
      <c r="Z186" s="233"/>
      <c r="AA186" s="233"/>
      <c r="AB186" s="266"/>
      <c r="AC186" s="234"/>
    </row>
    <row r="187" spans="23:29">
      <c r="W187" s="233"/>
      <c r="X187" s="233"/>
      <c r="Y187" s="233"/>
      <c r="Z187" s="233"/>
      <c r="AA187" s="233"/>
      <c r="AB187" s="266"/>
      <c r="AC187" s="234"/>
    </row>
    <row r="188" spans="23:29">
      <c r="W188" s="233"/>
      <c r="X188" s="233"/>
      <c r="Y188" s="233"/>
      <c r="Z188" s="233"/>
      <c r="AA188" s="233"/>
      <c r="AB188" s="266"/>
      <c r="AC188" s="234"/>
    </row>
    <row r="189" spans="23:29">
      <c r="W189" s="233"/>
      <c r="X189" s="233"/>
      <c r="Y189" s="233"/>
      <c r="Z189" s="233"/>
      <c r="AA189" s="233"/>
      <c r="AB189" s="266"/>
      <c r="AC189" s="234"/>
    </row>
    <row r="190" spans="23:29">
      <c r="W190" s="233"/>
      <c r="X190" s="233"/>
      <c r="Y190" s="233"/>
      <c r="Z190" s="233"/>
      <c r="AA190" s="233"/>
      <c r="AB190" s="266"/>
      <c r="AC190" s="234"/>
    </row>
    <row r="191" spans="23:29">
      <c r="W191" s="233"/>
      <c r="X191" s="233"/>
      <c r="Y191" s="233"/>
      <c r="Z191" s="233"/>
      <c r="AA191" s="233"/>
      <c r="AB191" s="266"/>
      <c r="AC191" s="234"/>
    </row>
    <row r="192" spans="23:29">
      <c r="W192" s="233"/>
      <c r="X192" s="233"/>
      <c r="Y192" s="233"/>
      <c r="Z192" s="233"/>
      <c r="AA192" s="233"/>
      <c r="AB192" s="266"/>
      <c r="AC192" s="234"/>
    </row>
    <row r="193" spans="23:29">
      <c r="W193" s="233"/>
      <c r="X193" s="233"/>
      <c r="Y193" s="233"/>
      <c r="Z193" s="233"/>
      <c r="AA193" s="233"/>
      <c r="AB193" s="266"/>
      <c r="AC193" s="234"/>
    </row>
    <row r="194" spans="23:29">
      <c r="W194" s="233"/>
      <c r="X194" s="233"/>
      <c r="Y194" s="233"/>
      <c r="Z194" s="233"/>
      <c r="AA194" s="233"/>
      <c r="AB194" s="266"/>
      <c r="AC194" s="234"/>
    </row>
    <row r="195" spans="23:29">
      <c r="W195" s="233"/>
      <c r="X195" s="233"/>
      <c r="Y195" s="233"/>
      <c r="Z195" s="233"/>
      <c r="AA195" s="233"/>
      <c r="AB195" s="266"/>
      <c r="AC195" s="234"/>
    </row>
    <row r="196" spans="23:29">
      <c r="W196" s="233"/>
      <c r="X196" s="233"/>
      <c r="Y196" s="233"/>
      <c r="Z196" s="233"/>
      <c r="AA196" s="233"/>
      <c r="AB196" s="266"/>
      <c r="AC196" s="234"/>
    </row>
    <row r="197" spans="23:29">
      <c r="W197" s="233"/>
      <c r="X197" s="233"/>
      <c r="Y197" s="233"/>
      <c r="Z197" s="233"/>
      <c r="AA197" s="233"/>
      <c r="AB197" s="266"/>
      <c r="AC197" s="234"/>
    </row>
    <row r="198" spans="23:29">
      <c r="W198" s="233"/>
      <c r="X198" s="233"/>
      <c r="Y198" s="233"/>
      <c r="Z198" s="233"/>
      <c r="AA198" s="233"/>
      <c r="AB198" s="266"/>
      <c r="AC198" s="234"/>
    </row>
    <row r="199" spans="23:29">
      <c r="W199" s="233"/>
      <c r="X199" s="233"/>
      <c r="Y199" s="233"/>
      <c r="Z199" s="233"/>
      <c r="AA199" s="233"/>
      <c r="AB199" s="266"/>
      <c r="AC199" s="234"/>
    </row>
    <row r="200" spans="23:29">
      <c r="W200" s="233"/>
      <c r="X200" s="233"/>
      <c r="Y200" s="233"/>
      <c r="Z200" s="233"/>
      <c r="AA200" s="233"/>
      <c r="AB200" s="266"/>
      <c r="AC200" s="234"/>
    </row>
    <row r="201" spans="23:29">
      <c r="W201" s="233"/>
      <c r="X201" s="233"/>
      <c r="Y201" s="233"/>
      <c r="Z201" s="233"/>
      <c r="AA201" s="233"/>
      <c r="AB201" s="266"/>
      <c r="AC201" s="234"/>
    </row>
    <row r="202" spans="23:29">
      <c r="W202" s="233"/>
      <c r="X202" s="233"/>
      <c r="Y202" s="233"/>
      <c r="Z202" s="233"/>
      <c r="AA202" s="233"/>
      <c r="AB202" s="266"/>
      <c r="AC202" s="234"/>
    </row>
    <row r="203" spans="23:29">
      <c r="W203" s="233"/>
      <c r="X203" s="233"/>
      <c r="Y203" s="233"/>
      <c r="Z203" s="233"/>
      <c r="AA203" s="233"/>
      <c r="AB203" s="266"/>
      <c r="AC203" s="234"/>
    </row>
    <row r="204" spans="23:29">
      <c r="W204" s="233"/>
      <c r="X204" s="233"/>
      <c r="Y204" s="233"/>
      <c r="Z204" s="233"/>
      <c r="AA204" s="233"/>
      <c r="AB204" s="266"/>
      <c r="AC204" s="234"/>
    </row>
    <row r="205" spans="23:29">
      <c r="W205" s="233"/>
      <c r="X205" s="233"/>
      <c r="Y205" s="233"/>
      <c r="Z205" s="233"/>
      <c r="AA205" s="233"/>
      <c r="AB205" s="266"/>
      <c r="AC205" s="234"/>
    </row>
    <row r="206" spans="23:29">
      <c r="W206" s="233"/>
      <c r="X206" s="233"/>
      <c r="Y206" s="233"/>
      <c r="Z206" s="233"/>
      <c r="AA206" s="233"/>
      <c r="AB206" s="266"/>
      <c r="AC206" s="234"/>
    </row>
    <row r="207" spans="23:29">
      <c r="W207" s="233"/>
      <c r="X207" s="233"/>
      <c r="Y207" s="233"/>
      <c r="Z207" s="233"/>
      <c r="AA207" s="233"/>
      <c r="AB207" s="266"/>
      <c r="AC207" s="234"/>
    </row>
    <row r="208" spans="23:29">
      <c r="W208" s="233"/>
      <c r="X208" s="233"/>
      <c r="Y208" s="233"/>
      <c r="Z208" s="233"/>
      <c r="AA208" s="233"/>
      <c r="AB208" s="266"/>
      <c r="AC208" s="234"/>
    </row>
    <row r="209" spans="23:29">
      <c r="W209" s="233"/>
      <c r="X209" s="233"/>
      <c r="Y209" s="233"/>
      <c r="Z209" s="233"/>
      <c r="AA209" s="233"/>
      <c r="AB209" s="266"/>
      <c r="AC209" s="234"/>
    </row>
    <row r="210" spans="23:29">
      <c r="W210" s="233"/>
      <c r="X210" s="233"/>
      <c r="Y210" s="233"/>
      <c r="Z210" s="233"/>
      <c r="AA210" s="233"/>
      <c r="AB210" s="266"/>
      <c r="AC210" s="234"/>
    </row>
    <row r="211" spans="23:29">
      <c r="W211" s="233"/>
      <c r="X211" s="233"/>
      <c r="Y211" s="233"/>
      <c r="Z211" s="233"/>
      <c r="AA211" s="233"/>
      <c r="AB211" s="266"/>
      <c r="AC211" s="234"/>
    </row>
    <row r="212" spans="23:29">
      <c r="W212" s="233"/>
      <c r="X212" s="233"/>
      <c r="Y212" s="233"/>
      <c r="Z212" s="233"/>
      <c r="AA212" s="233"/>
      <c r="AB212" s="266"/>
      <c r="AC212" s="234"/>
    </row>
    <row r="213" spans="23:29">
      <c r="W213" s="233"/>
      <c r="X213" s="233"/>
      <c r="Y213" s="233"/>
      <c r="Z213" s="233"/>
      <c r="AA213" s="233"/>
      <c r="AB213" s="266"/>
      <c r="AC213" s="234"/>
    </row>
    <row r="214" spans="23:29">
      <c r="W214" s="233"/>
      <c r="X214" s="233"/>
      <c r="Y214" s="233"/>
      <c r="Z214" s="233"/>
      <c r="AA214" s="233"/>
      <c r="AB214" s="266"/>
      <c r="AC214" s="234"/>
    </row>
    <row r="215" spans="23:29">
      <c r="W215" s="233"/>
      <c r="X215" s="233"/>
      <c r="Y215" s="233"/>
      <c r="Z215" s="233"/>
      <c r="AA215" s="233"/>
      <c r="AB215" s="266"/>
      <c r="AC215" s="234"/>
    </row>
    <row r="216" spans="23:29">
      <c r="W216" s="233"/>
      <c r="X216" s="233"/>
      <c r="Y216" s="233"/>
      <c r="Z216" s="233"/>
      <c r="AA216" s="233"/>
      <c r="AB216" s="266"/>
      <c r="AC216" s="234"/>
    </row>
    <row r="217" spans="23:29">
      <c r="W217" s="233"/>
      <c r="X217" s="233"/>
      <c r="Y217" s="233"/>
      <c r="Z217" s="233"/>
      <c r="AA217" s="233"/>
      <c r="AB217" s="266"/>
      <c r="AC217" s="234"/>
    </row>
  </sheetData>
  <sheetProtection algorithmName="SHA-512" hashValue="+O8G/gZ9RhOWk8qUdsQJ13V020OabVm3f8C6Hs0zGfmovuOu82VLoyiORDqw/CjBTQbFyZLhaRVAg/dA7Vanaw==" saltValue="KWAus6mvKY++RQVjyG8QaA==" spinCount="100000" sheet="1" objects="1" scenarios="1"/>
  <mergeCells count="180">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2:B34"/>
    <mergeCell ref="C32:C34"/>
    <mergeCell ref="D32:D34"/>
    <mergeCell ref="E32:E34"/>
    <mergeCell ref="F32:F34"/>
    <mergeCell ref="G32:G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M54:M56"/>
    <mergeCell ref="N54:N56"/>
    <mergeCell ref="P54:P56"/>
    <mergeCell ref="Q54:Q56"/>
    <mergeCell ref="B76:B78"/>
    <mergeCell ref="C76:C78"/>
    <mergeCell ref="D76:D78"/>
    <mergeCell ref="E76:E78"/>
    <mergeCell ref="F76:F78"/>
    <mergeCell ref="G76:G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M98:M100"/>
    <mergeCell ref="N98:N100"/>
    <mergeCell ref="P98:P100"/>
    <mergeCell ref="Q98:Q100"/>
    <mergeCell ref="Z102:Z103"/>
    <mergeCell ref="AB102:AB103"/>
    <mergeCell ref="E102:E103"/>
    <mergeCell ref="G102:G103"/>
    <mergeCell ref="L102:L103"/>
    <mergeCell ref="N102:N103"/>
    <mergeCell ref="S102:S103"/>
    <mergeCell ref="U102:U103"/>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2020-11-25T10:36:49Z</dcterms:modified>
</cp:coreProperties>
</file>