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bc3060\users$\james.abbott\TO BE DELETED\"/>
    </mc:Choice>
  </mc:AlternateContent>
  <bookViews>
    <workbookView xWindow="0" yWindow="0" windowWidth="21600" windowHeight="8460" tabRatio="806"/>
  </bookViews>
  <sheets>
    <sheet name="1. All Data" sheetId="1" r:id="rId1"/>
    <sheet name="Q1 Summary" sheetId="9" state="hidden" r:id="rId2"/>
    <sheet name="Q2 Summary" sheetId="20" state="hidden" r:id="rId3"/>
    <sheet name="Q3 Summary" sheetId="21" state="hidden" r:id="rId4"/>
    <sheet name="Q4 Summary" sheetId="22" r:id="rId5"/>
    <sheet name="2a. % By Priority" sheetId="5" r:id="rId6"/>
    <sheet name="2b. Charts by Priority" sheetId="6" r:id="rId7"/>
    <sheet name="3a. % by Portfolio" sheetId="7" r:id="rId8"/>
    <sheet name="3b. Charts by Portfolio" sheetId="8" r:id="rId9"/>
    <sheet name="4. Status Tracking" sheetId="10" state="hidden" r:id="rId10"/>
    <sheet name="Custom Pivot" sheetId="17" r:id="rId11"/>
  </sheets>
  <definedNames>
    <definedName name="_xlnm._FilterDatabase" localSheetId="0" hidden="1">'1. All Data'!$A$2:$AJ$136</definedName>
    <definedName name="_Toc382250483" localSheetId="0">'1. All Data'!$B$77</definedName>
    <definedName name="OLE_LINK3" localSheetId="0">'1. All Data'!$D$40</definedName>
    <definedName name="_xlnm.Print_Area" localSheetId="0">'1. All Data'!$A$1:$AB$134</definedName>
    <definedName name="_xlnm.Print_Area" localSheetId="5">'2a. % By Priority'!$A$1:$G$125</definedName>
    <definedName name="_xlnm.Print_Area" localSheetId="6">'2b. Charts by Priority'!$A$1:$AS$99</definedName>
    <definedName name="_xlnm.Print_Area" localSheetId="7">'3a. % by Portfolio'!$A$1:$G$108</definedName>
    <definedName name="_xlnm.Print_Area" localSheetId="8">'3b. Charts by Portfolio'!$A$1:$AT$99</definedName>
    <definedName name="_xlnm.Print_Area" localSheetId="1">'Q1 Summary'!$A$1:$H$17</definedName>
    <definedName name="_xlnm.Print_Area" localSheetId="2">'Q2 Summary'!$A$1:$H$17</definedName>
    <definedName name="_xlnm.Print_Area" localSheetId="3">'Q3 Summary'!$A$1:$H$19</definedName>
    <definedName name="_xlnm.Print_Area" localSheetId="4">'Q4 Summary'!$A$1:$H$18</definedName>
    <definedName name="_xlnm.Print_Titles" localSheetId="0">'1. All Data'!$2:$2</definedName>
  </definedNames>
  <calcPr calcId="162913"/>
  <pivotCaches>
    <pivotCache cacheId="0" r:id="rId1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23" i="5" l="1"/>
  <c r="X122" i="5"/>
  <c r="X121" i="5"/>
  <c r="X120" i="5"/>
  <c r="X119" i="5"/>
  <c r="X118" i="5"/>
  <c r="X117" i="5"/>
  <c r="X116" i="5"/>
  <c r="X115" i="5"/>
  <c r="X114" i="5"/>
  <c r="X113" i="5"/>
  <c r="Q113" i="5"/>
  <c r="X33" i="5"/>
  <c r="X31" i="5"/>
  <c r="X30" i="5"/>
  <c r="X29" i="5"/>
  <c r="X28" i="5"/>
  <c r="X27" i="5"/>
  <c r="X26" i="5"/>
  <c r="X25" i="5"/>
  <c r="X24" i="5"/>
  <c r="X23" i="5"/>
  <c r="E12" i="22" l="1"/>
  <c r="C12" i="22"/>
  <c r="G12" i="22"/>
  <c r="Q15" i="5"/>
  <c r="Q14" i="5"/>
  <c r="Q13" i="5"/>
  <c r="Q12" i="5"/>
  <c r="Q5" i="5"/>
  <c r="Q123" i="5" l="1"/>
  <c r="Q122" i="5"/>
  <c r="Q121" i="5"/>
  <c r="Q120" i="5"/>
  <c r="Q119" i="5"/>
  <c r="Q118" i="5"/>
  <c r="Q115" i="5"/>
  <c r="E12" i="21" s="1"/>
  <c r="Q114" i="5"/>
  <c r="G12" i="21" l="1"/>
  <c r="Q124" i="5"/>
  <c r="R119" i="5" s="1"/>
  <c r="C12" i="21"/>
  <c r="Q60" i="5"/>
  <c r="Q33" i="5"/>
  <c r="Q32" i="5"/>
  <c r="Q31" i="5"/>
  <c r="Q30" i="5"/>
  <c r="Q29" i="5"/>
  <c r="Q28" i="5"/>
  <c r="Q25" i="5"/>
  <c r="Q24" i="5"/>
  <c r="Q23" i="5"/>
  <c r="R114" i="5" l="1"/>
  <c r="Q125" i="5"/>
  <c r="T113" i="5" s="1"/>
  <c r="R115" i="5"/>
  <c r="S115" i="5" s="1"/>
  <c r="R122" i="5"/>
  <c r="S122" i="5" s="1"/>
  <c r="R113" i="5"/>
  <c r="R121" i="5"/>
  <c r="S121" i="5" s="1"/>
  <c r="R123" i="5"/>
  <c r="S123" i="5" s="1"/>
  <c r="R120" i="5"/>
  <c r="S120" i="5" s="1"/>
  <c r="R118" i="5"/>
  <c r="S118" i="5" s="1"/>
  <c r="J33" i="5"/>
  <c r="J32" i="5"/>
  <c r="J31" i="5"/>
  <c r="J30" i="5"/>
  <c r="J29" i="5"/>
  <c r="J28" i="5"/>
  <c r="J25" i="5"/>
  <c r="J24" i="5"/>
  <c r="J23" i="5"/>
  <c r="S113" i="5" l="1"/>
  <c r="T119" i="5"/>
  <c r="T118" i="5"/>
  <c r="T114" i="5"/>
  <c r="U113" i="5" s="1"/>
  <c r="D12" i="21" s="1"/>
  <c r="T115" i="5"/>
  <c r="U115" i="5" s="1"/>
  <c r="F12" i="21" s="1"/>
  <c r="C60" i="7"/>
  <c r="U118" i="5" l="1"/>
  <c r="H12" i="21" s="1"/>
  <c r="X106" i="7"/>
  <c r="X105" i="7"/>
  <c r="X104" i="7"/>
  <c r="X103" i="7"/>
  <c r="X102" i="7"/>
  <c r="X101" i="7"/>
  <c r="X100" i="7"/>
  <c r="X99" i="7"/>
  <c r="X98" i="7"/>
  <c r="X97" i="7"/>
  <c r="X96" i="7"/>
  <c r="Q106" i="7"/>
  <c r="Q105" i="7"/>
  <c r="Q104" i="7"/>
  <c r="Q103" i="7"/>
  <c r="Q102" i="7"/>
  <c r="Q101" i="7"/>
  <c r="Q98" i="7"/>
  <c r="E19" i="21" s="1"/>
  <c r="Q97" i="7"/>
  <c r="Q96" i="7"/>
  <c r="J106" i="7"/>
  <c r="J105" i="7"/>
  <c r="J104" i="7"/>
  <c r="J103" i="7"/>
  <c r="J102" i="7"/>
  <c r="J101" i="7"/>
  <c r="J98" i="7"/>
  <c r="E18" i="20" s="1"/>
  <c r="J97" i="7"/>
  <c r="J96" i="7"/>
  <c r="X88" i="7"/>
  <c r="X87" i="7"/>
  <c r="X86" i="7"/>
  <c r="X85" i="7"/>
  <c r="X84" i="7"/>
  <c r="X83" i="7"/>
  <c r="X82" i="7"/>
  <c r="X81" i="7"/>
  <c r="X80" i="7"/>
  <c r="X79" i="7"/>
  <c r="X78" i="7"/>
  <c r="Q88" i="7"/>
  <c r="Q87" i="7"/>
  <c r="Q86" i="7"/>
  <c r="Q85" i="7"/>
  <c r="Q84" i="7"/>
  <c r="Q83" i="7"/>
  <c r="Q80" i="7"/>
  <c r="E18" i="21" s="1"/>
  <c r="Q79" i="7"/>
  <c r="Q78" i="7"/>
  <c r="J88" i="7"/>
  <c r="J87" i="7"/>
  <c r="J86" i="7"/>
  <c r="J85" i="7"/>
  <c r="J84" i="7"/>
  <c r="J83" i="7"/>
  <c r="J80" i="7"/>
  <c r="E17" i="20" s="1"/>
  <c r="J79" i="7"/>
  <c r="J78" i="7"/>
  <c r="X70" i="7"/>
  <c r="X69" i="7"/>
  <c r="X68" i="7"/>
  <c r="X67" i="7"/>
  <c r="X66" i="7"/>
  <c r="X65" i="7"/>
  <c r="X64" i="7"/>
  <c r="X63" i="7"/>
  <c r="X62" i="7"/>
  <c r="X61" i="7"/>
  <c r="X60" i="7"/>
  <c r="Q70" i="7"/>
  <c r="Q69" i="7"/>
  <c r="Q68" i="7"/>
  <c r="Q67" i="7"/>
  <c r="Q66" i="7"/>
  <c r="Q65" i="7"/>
  <c r="Q62" i="7"/>
  <c r="E17" i="21" s="1"/>
  <c r="Q61" i="7"/>
  <c r="Q60" i="7"/>
  <c r="J70" i="7"/>
  <c r="J69" i="7"/>
  <c r="J68" i="7"/>
  <c r="J67" i="7"/>
  <c r="J66" i="7"/>
  <c r="J65" i="7"/>
  <c r="J62" i="7"/>
  <c r="E16" i="20" s="1"/>
  <c r="J61" i="7"/>
  <c r="J60" i="7"/>
  <c r="X52" i="7"/>
  <c r="X51" i="7"/>
  <c r="X50" i="7"/>
  <c r="X49" i="7"/>
  <c r="X48" i="7"/>
  <c r="X47" i="7"/>
  <c r="X46" i="7"/>
  <c r="X45" i="7"/>
  <c r="X44" i="7"/>
  <c r="X43" i="7"/>
  <c r="X42" i="7"/>
  <c r="Q52" i="7"/>
  <c r="Q51" i="7"/>
  <c r="Q50" i="7"/>
  <c r="Q49" i="7"/>
  <c r="Q48" i="7"/>
  <c r="Q47" i="7"/>
  <c r="Q44" i="7"/>
  <c r="E16" i="21" s="1"/>
  <c r="Q43" i="7"/>
  <c r="Q42" i="7"/>
  <c r="J52" i="7"/>
  <c r="J51" i="7"/>
  <c r="J50" i="7"/>
  <c r="J49" i="7"/>
  <c r="J48" i="7"/>
  <c r="J47" i="7"/>
  <c r="J44" i="7"/>
  <c r="E15" i="20" s="1"/>
  <c r="J43" i="7"/>
  <c r="J42" i="7"/>
  <c r="X34" i="7"/>
  <c r="X33" i="7"/>
  <c r="X32" i="7"/>
  <c r="X31" i="7"/>
  <c r="X30" i="7"/>
  <c r="X29" i="7"/>
  <c r="X28" i="7"/>
  <c r="X27" i="7"/>
  <c r="X26" i="7"/>
  <c r="X25" i="7"/>
  <c r="X24" i="7"/>
  <c r="Q34" i="7"/>
  <c r="Q33" i="7"/>
  <c r="Q32" i="7"/>
  <c r="Q31" i="7"/>
  <c r="Q30" i="7"/>
  <c r="Q29" i="7"/>
  <c r="Q26" i="7"/>
  <c r="E15" i="21" s="1"/>
  <c r="Q25" i="7"/>
  <c r="Q24" i="7"/>
  <c r="J34" i="7"/>
  <c r="J33" i="7"/>
  <c r="J32" i="7"/>
  <c r="J31" i="7"/>
  <c r="J30" i="7"/>
  <c r="J29" i="7"/>
  <c r="J26" i="7"/>
  <c r="E14" i="20" s="1"/>
  <c r="J25" i="7"/>
  <c r="J24" i="7"/>
  <c r="X15" i="7"/>
  <c r="X14" i="7"/>
  <c r="X13" i="7"/>
  <c r="X12" i="7"/>
  <c r="X11" i="7"/>
  <c r="X10" i="7"/>
  <c r="X9" i="7"/>
  <c r="X8" i="7"/>
  <c r="X7" i="7"/>
  <c r="X6" i="7"/>
  <c r="X5" i="7"/>
  <c r="Q15" i="7"/>
  <c r="Q14" i="7"/>
  <c r="Q13" i="7"/>
  <c r="Q12" i="7"/>
  <c r="Q11" i="7"/>
  <c r="Q10" i="7"/>
  <c r="Q7" i="7"/>
  <c r="E14" i="21" s="1"/>
  <c r="Q6" i="7"/>
  <c r="Q5" i="7"/>
  <c r="J15" i="7"/>
  <c r="J14" i="7"/>
  <c r="J13" i="7"/>
  <c r="J12" i="7"/>
  <c r="J11" i="7"/>
  <c r="J10" i="7"/>
  <c r="J7" i="7"/>
  <c r="E13" i="20" s="1"/>
  <c r="J6" i="7"/>
  <c r="J5" i="7"/>
  <c r="J123" i="5"/>
  <c r="J122" i="5"/>
  <c r="J121" i="5"/>
  <c r="J120" i="5"/>
  <c r="J119" i="5"/>
  <c r="J118" i="5"/>
  <c r="J115" i="5"/>
  <c r="J114" i="5"/>
  <c r="J113" i="5"/>
  <c r="X105" i="5"/>
  <c r="X104" i="5"/>
  <c r="X103" i="5"/>
  <c r="X102" i="5"/>
  <c r="X101" i="5"/>
  <c r="X100" i="5"/>
  <c r="X99" i="5"/>
  <c r="X98" i="5"/>
  <c r="X97" i="5"/>
  <c r="X96" i="5"/>
  <c r="X95" i="5"/>
  <c r="Q105" i="5"/>
  <c r="Q104" i="5"/>
  <c r="Q103" i="5"/>
  <c r="Q102" i="5"/>
  <c r="Q101" i="5"/>
  <c r="Q100" i="5"/>
  <c r="Q97" i="5"/>
  <c r="E11" i="21" s="1"/>
  <c r="Q96" i="5"/>
  <c r="Q95" i="5"/>
  <c r="J105" i="5"/>
  <c r="J104" i="5"/>
  <c r="J103" i="5"/>
  <c r="J102" i="5"/>
  <c r="J101" i="5"/>
  <c r="J100" i="5"/>
  <c r="J97" i="5"/>
  <c r="E11" i="20" s="1"/>
  <c r="J96" i="5"/>
  <c r="J95" i="5"/>
  <c r="X87" i="5"/>
  <c r="X86" i="5"/>
  <c r="X85" i="5"/>
  <c r="X84" i="5"/>
  <c r="X83" i="5"/>
  <c r="X82" i="5"/>
  <c r="X81" i="5"/>
  <c r="X80" i="5"/>
  <c r="X79" i="5"/>
  <c r="X78" i="5"/>
  <c r="X77" i="5"/>
  <c r="Q87" i="5"/>
  <c r="Q86" i="5"/>
  <c r="Q85" i="5"/>
  <c r="Q84" i="5"/>
  <c r="Q83" i="5"/>
  <c r="Q82" i="5"/>
  <c r="Q79" i="5"/>
  <c r="E10" i="21" s="1"/>
  <c r="Q78" i="5"/>
  <c r="Q77" i="5"/>
  <c r="J87" i="5"/>
  <c r="J86" i="5"/>
  <c r="J85" i="5"/>
  <c r="J84" i="5"/>
  <c r="J83" i="5"/>
  <c r="J82" i="5"/>
  <c r="J79" i="5"/>
  <c r="E10" i="20" s="1"/>
  <c r="J78" i="5"/>
  <c r="J77" i="5"/>
  <c r="G14" i="22" l="1"/>
  <c r="C15" i="22"/>
  <c r="C16" i="20"/>
  <c r="G17" i="20"/>
  <c r="C13" i="20"/>
  <c r="G13" i="20"/>
  <c r="C16" i="21"/>
  <c r="G17" i="21"/>
  <c r="C19" i="21"/>
  <c r="C11" i="21"/>
  <c r="G10" i="20"/>
  <c r="G19" i="21"/>
  <c r="C11" i="22"/>
  <c r="C10" i="21"/>
  <c r="G11" i="21"/>
  <c r="E17" i="22"/>
  <c r="G14" i="21"/>
  <c r="E14" i="22"/>
  <c r="G18" i="21"/>
  <c r="E18" i="22"/>
  <c r="G19" i="22"/>
  <c r="C14" i="21"/>
  <c r="E11" i="22"/>
  <c r="C15" i="20"/>
  <c r="G18" i="22"/>
  <c r="G10" i="21"/>
  <c r="E10" i="22"/>
  <c r="G11" i="22"/>
  <c r="C14" i="20"/>
  <c r="G15" i="20"/>
  <c r="C18" i="21"/>
  <c r="E19" i="22"/>
  <c r="C11" i="20"/>
  <c r="C15" i="21"/>
  <c r="G16" i="21"/>
  <c r="E16" i="22"/>
  <c r="G17" i="22"/>
  <c r="C18" i="22"/>
  <c r="C10" i="20"/>
  <c r="G11" i="20"/>
  <c r="G15" i="21"/>
  <c r="E15" i="22"/>
  <c r="G16" i="22"/>
  <c r="C17" i="22"/>
  <c r="C18" i="20"/>
  <c r="C10" i="22"/>
  <c r="C14" i="22"/>
  <c r="G16" i="20"/>
  <c r="X107" i="7"/>
  <c r="Y105" i="7" s="1"/>
  <c r="Z105" i="7" s="1"/>
  <c r="G15" i="22"/>
  <c r="C16" i="22"/>
  <c r="C17" i="20"/>
  <c r="G18" i="20"/>
  <c r="G10" i="22"/>
  <c r="G14" i="20"/>
  <c r="C17" i="21"/>
  <c r="C19" i="22"/>
  <c r="J107" i="7"/>
  <c r="K101" i="7" s="1"/>
  <c r="Q107" i="7"/>
  <c r="R98" i="7" s="1"/>
  <c r="S98" i="7" s="1"/>
  <c r="X124" i="5"/>
  <c r="X125" i="5" s="1"/>
  <c r="AA113" i="5" s="1"/>
  <c r="J124" i="5"/>
  <c r="K115" i="5" s="1"/>
  <c r="L115" i="5" s="1"/>
  <c r="J106" i="5"/>
  <c r="K102" i="5" s="1"/>
  <c r="L102" i="5" s="1"/>
  <c r="Q106" i="5"/>
  <c r="R102" i="5" s="1"/>
  <c r="S102" i="5" s="1"/>
  <c r="X106" i="5"/>
  <c r="X107" i="5" s="1"/>
  <c r="AA100" i="5" s="1"/>
  <c r="J88" i="5"/>
  <c r="K85" i="5" s="1"/>
  <c r="L85" i="5" s="1"/>
  <c r="Q88" i="5"/>
  <c r="R84" i="5" s="1"/>
  <c r="S84" i="5" s="1"/>
  <c r="X88" i="5"/>
  <c r="X89" i="5" s="1"/>
  <c r="AA79" i="5" s="1"/>
  <c r="X69" i="5"/>
  <c r="X68" i="5"/>
  <c r="X67" i="5"/>
  <c r="X66" i="5"/>
  <c r="X65" i="5"/>
  <c r="X64" i="5"/>
  <c r="X63" i="5"/>
  <c r="X62" i="5"/>
  <c r="X61" i="5"/>
  <c r="X60" i="5"/>
  <c r="X59" i="5"/>
  <c r="Q69" i="5"/>
  <c r="Q68" i="5"/>
  <c r="Q67" i="5"/>
  <c r="Q66" i="5"/>
  <c r="Q65" i="5"/>
  <c r="Q64" i="5"/>
  <c r="Q61" i="5"/>
  <c r="E9" i="21" s="1"/>
  <c r="Q59" i="5"/>
  <c r="J69" i="5"/>
  <c r="J68" i="5"/>
  <c r="J67" i="5"/>
  <c r="J66" i="5"/>
  <c r="J65" i="5"/>
  <c r="J64" i="5"/>
  <c r="J61" i="5"/>
  <c r="E9" i="20" s="1"/>
  <c r="J60" i="5"/>
  <c r="J59" i="5"/>
  <c r="X51" i="5"/>
  <c r="X50" i="5"/>
  <c r="X49" i="5"/>
  <c r="X48" i="5"/>
  <c r="X47" i="5"/>
  <c r="X46" i="5"/>
  <c r="X45" i="5"/>
  <c r="X44" i="5"/>
  <c r="X43" i="5"/>
  <c r="X42" i="5"/>
  <c r="X41" i="5"/>
  <c r="Q51" i="5"/>
  <c r="Q50" i="5"/>
  <c r="Q49" i="5"/>
  <c r="Q48" i="5"/>
  <c r="Q47" i="5"/>
  <c r="Q46" i="5"/>
  <c r="Q43" i="5"/>
  <c r="E8" i="21" s="1"/>
  <c r="Q42" i="5"/>
  <c r="Q41" i="5"/>
  <c r="J51" i="5"/>
  <c r="J50" i="5"/>
  <c r="J49" i="5"/>
  <c r="J48" i="5"/>
  <c r="J47" i="5"/>
  <c r="J46" i="5"/>
  <c r="J43" i="5"/>
  <c r="E8" i="20" s="1"/>
  <c r="J42" i="5"/>
  <c r="J41" i="5"/>
  <c r="X32" i="5"/>
  <c r="E7" i="21"/>
  <c r="E7" i="20"/>
  <c r="C106" i="7"/>
  <c r="C105" i="7"/>
  <c r="C104" i="7"/>
  <c r="C103" i="7"/>
  <c r="C102" i="7"/>
  <c r="C101" i="7"/>
  <c r="C98" i="7"/>
  <c r="E18" i="9" s="1"/>
  <c r="C97" i="7"/>
  <c r="C96" i="7"/>
  <c r="C88" i="7"/>
  <c r="C87" i="7"/>
  <c r="C86" i="7"/>
  <c r="C85" i="7"/>
  <c r="C84" i="7"/>
  <c r="C83" i="7"/>
  <c r="C80" i="7"/>
  <c r="C79" i="7"/>
  <c r="C78" i="7"/>
  <c r="C70" i="7"/>
  <c r="C69" i="7"/>
  <c r="C68" i="7"/>
  <c r="C67" i="7"/>
  <c r="C66" i="7"/>
  <c r="C65" i="7"/>
  <c r="C62" i="7"/>
  <c r="C61" i="7"/>
  <c r="C52" i="7"/>
  <c r="C51" i="7"/>
  <c r="C50" i="7"/>
  <c r="C49" i="7"/>
  <c r="C48" i="7"/>
  <c r="C47" i="7"/>
  <c r="C44" i="7"/>
  <c r="C43" i="7"/>
  <c r="C42" i="7"/>
  <c r="C34" i="7"/>
  <c r="C33" i="7"/>
  <c r="C32" i="7"/>
  <c r="C31" i="7"/>
  <c r="C30" i="7"/>
  <c r="C29" i="7"/>
  <c r="C26" i="7"/>
  <c r="C25" i="7"/>
  <c r="C24" i="7"/>
  <c r="C15" i="7"/>
  <c r="C14" i="7"/>
  <c r="C13" i="7"/>
  <c r="C12" i="7"/>
  <c r="C11" i="7"/>
  <c r="C10" i="7"/>
  <c r="C7" i="7"/>
  <c r="C6" i="7"/>
  <c r="C5" i="7"/>
  <c r="C123" i="5"/>
  <c r="C122" i="5"/>
  <c r="C121" i="5"/>
  <c r="C120" i="5"/>
  <c r="C119" i="5"/>
  <c r="C118" i="5"/>
  <c r="C115" i="5"/>
  <c r="C114" i="5"/>
  <c r="C113" i="5"/>
  <c r="C105" i="5"/>
  <c r="C104" i="5"/>
  <c r="C103" i="5"/>
  <c r="C102" i="5"/>
  <c r="C101" i="5"/>
  <c r="C100" i="5"/>
  <c r="C97" i="5"/>
  <c r="E11" i="9" s="1"/>
  <c r="C96" i="5"/>
  <c r="C95" i="5"/>
  <c r="C69" i="5"/>
  <c r="C68" i="5"/>
  <c r="C67" i="5"/>
  <c r="C66" i="5"/>
  <c r="C65" i="5"/>
  <c r="C64" i="5"/>
  <c r="C61" i="5"/>
  <c r="E9" i="9" s="1"/>
  <c r="C60" i="5"/>
  <c r="C59" i="5"/>
  <c r="C87" i="5"/>
  <c r="C86" i="5"/>
  <c r="C85" i="5"/>
  <c r="C84" i="5"/>
  <c r="C83" i="5"/>
  <c r="C82" i="5"/>
  <c r="C79" i="5"/>
  <c r="E10" i="9" s="1"/>
  <c r="C78" i="5"/>
  <c r="C77" i="5"/>
  <c r="C51" i="5"/>
  <c r="C50" i="5"/>
  <c r="C49" i="5"/>
  <c r="C48" i="5"/>
  <c r="C47" i="5"/>
  <c r="C46" i="5"/>
  <c r="C43" i="5"/>
  <c r="C42" i="5"/>
  <c r="C41" i="5"/>
  <c r="C33" i="5"/>
  <c r="C32" i="5"/>
  <c r="C31" i="5"/>
  <c r="C30" i="5"/>
  <c r="C29" i="5"/>
  <c r="C28" i="5"/>
  <c r="C25" i="5"/>
  <c r="E7" i="9" s="1"/>
  <c r="C24" i="5"/>
  <c r="C23" i="5"/>
  <c r="Y113" i="5" l="1"/>
  <c r="G9" i="9"/>
  <c r="G18" i="9"/>
  <c r="C7" i="9"/>
  <c r="G8" i="21"/>
  <c r="E8" i="22"/>
  <c r="G9" i="21"/>
  <c r="G9" i="22"/>
  <c r="AA77" i="5"/>
  <c r="AA114" i="5"/>
  <c r="AB113" i="5" s="1"/>
  <c r="D12" i="22" s="1"/>
  <c r="AA80" i="5"/>
  <c r="K120" i="5"/>
  <c r="L120" i="5" s="1"/>
  <c r="AA117" i="5"/>
  <c r="C8" i="20"/>
  <c r="G9" i="20"/>
  <c r="K114" i="5"/>
  <c r="G7" i="20"/>
  <c r="C9" i="21"/>
  <c r="Y97" i="7"/>
  <c r="Y98" i="7"/>
  <c r="Y99" i="7"/>
  <c r="AA116" i="5"/>
  <c r="Y104" i="7"/>
  <c r="Z104" i="7" s="1"/>
  <c r="C11" i="9"/>
  <c r="Y77" i="5"/>
  <c r="X108" i="7"/>
  <c r="AA102" i="7" s="1"/>
  <c r="Y100" i="7"/>
  <c r="Y106" i="7"/>
  <c r="Z106" i="7" s="1"/>
  <c r="C9" i="20"/>
  <c r="Y96" i="7"/>
  <c r="Y103" i="7"/>
  <c r="Z103" i="7" s="1"/>
  <c r="G10" i="9"/>
  <c r="C7" i="21"/>
  <c r="C7" i="22"/>
  <c r="AA97" i="5"/>
  <c r="Y96" i="5"/>
  <c r="AA82" i="5"/>
  <c r="C8" i="21"/>
  <c r="E9" i="22"/>
  <c r="K87" i="5"/>
  <c r="L87" i="5" s="1"/>
  <c r="AA115" i="5"/>
  <c r="Y101" i="7"/>
  <c r="G7" i="9"/>
  <c r="C9" i="9"/>
  <c r="Y78" i="5"/>
  <c r="Y102" i="7"/>
  <c r="K97" i="5"/>
  <c r="L97" i="5" s="1"/>
  <c r="K95" i="5"/>
  <c r="C10" i="9"/>
  <c r="G7" i="21"/>
  <c r="E7" i="22"/>
  <c r="G8" i="22"/>
  <c r="C9" i="22"/>
  <c r="R86" i="5"/>
  <c r="S86" i="5" s="1"/>
  <c r="K101" i="5"/>
  <c r="K84" i="5"/>
  <c r="L84" i="5" s="1"/>
  <c r="AA96" i="5"/>
  <c r="C107" i="7"/>
  <c r="D106" i="7" s="1"/>
  <c r="E106" i="7" s="1"/>
  <c r="K105" i="5"/>
  <c r="L105" i="5" s="1"/>
  <c r="G7" i="22"/>
  <c r="C8" i="22"/>
  <c r="R96" i="5"/>
  <c r="K100" i="5"/>
  <c r="AA118" i="5"/>
  <c r="G11" i="9"/>
  <c r="C7" i="20"/>
  <c r="G8" i="20"/>
  <c r="AA98" i="5"/>
  <c r="R104" i="7"/>
  <c r="S104" i="7" s="1"/>
  <c r="R101" i="7"/>
  <c r="K96" i="7"/>
  <c r="R97" i="7"/>
  <c r="K97" i="7"/>
  <c r="R96" i="7"/>
  <c r="R103" i="7"/>
  <c r="S103" i="7" s="1"/>
  <c r="K102" i="7"/>
  <c r="L101" i="7" s="1"/>
  <c r="J108" i="7"/>
  <c r="K105" i="7"/>
  <c r="L105" i="7" s="1"/>
  <c r="Q108" i="7"/>
  <c r="R105" i="7"/>
  <c r="S105" i="7" s="1"/>
  <c r="R102" i="7"/>
  <c r="R106" i="7"/>
  <c r="S106" i="7" s="1"/>
  <c r="K98" i="7"/>
  <c r="L98" i="7" s="1"/>
  <c r="K106" i="7"/>
  <c r="L106" i="7" s="1"/>
  <c r="K104" i="7"/>
  <c r="L104" i="7" s="1"/>
  <c r="K103" i="7"/>
  <c r="L103" i="7" s="1"/>
  <c r="AA119" i="5"/>
  <c r="Y114" i="5"/>
  <c r="K118" i="5"/>
  <c r="K123" i="5"/>
  <c r="L123" i="5" s="1"/>
  <c r="K113" i="5"/>
  <c r="K121" i="5"/>
  <c r="L121" i="5" s="1"/>
  <c r="K119" i="5"/>
  <c r="J125" i="5"/>
  <c r="K122" i="5"/>
  <c r="L122" i="5" s="1"/>
  <c r="Y95" i="5"/>
  <c r="R95" i="5"/>
  <c r="K78" i="5"/>
  <c r="R100" i="5"/>
  <c r="Q107" i="5"/>
  <c r="R105" i="5"/>
  <c r="S105" i="5" s="1"/>
  <c r="R104" i="5"/>
  <c r="S104" i="5" s="1"/>
  <c r="R103" i="5"/>
  <c r="S103" i="5" s="1"/>
  <c r="R101" i="5"/>
  <c r="J107" i="5"/>
  <c r="K104" i="5"/>
  <c r="L104" i="5" s="1"/>
  <c r="K103" i="5"/>
  <c r="L103" i="5" s="1"/>
  <c r="AA101" i="5"/>
  <c r="AB100" i="5" s="1"/>
  <c r="AA99" i="5"/>
  <c r="R97" i="5"/>
  <c r="S97" i="5" s="1"/>
  <c r="K96" i="5"/>
  <c r="AA95" i="5"/>
  <c r="Q89" i="5"/>
  <c r="R87" i="5"/>
  <c r="S87" i="5" s="1"/>
  <c r="R83" i="5"/>
  <c r="K82" i="5"/>
  <c r="R77" i="5"/>
  <c r="K83" i="5"/>
  <c r="R85" i="5"/>
  <c r="S85" i="5" s="1"/>
  <c r="R78" i="5"/>
  <c r="AA81" i="5"/>
  <c r="AA83" i="5"/>
  <c r="K77" i="5"/>
  <c r="J89" i="5"/>
  <c r="K86" i="5"/>
  <c r="L86" i="5" s="1"/>
  <c r="K79" i="5"/>
  <c r="L79" i="5" s="1"/>
  <c r="R82" i="5"/>
  <c r="AA78" i="5"/>
  <c r="R79" i="5"/>
  <c r="S79" i="5" s="1"/>
  <c r="C18" i="9"/>
  <c r="C88" i="5"/>
  <c r="D78" i="5" s="1"/>
  <c r="C106" i="5"/>
  <c r="D105" i="5" s="1"/>
  <c r="E105" i="5" s="1"/>
  <c r="C124" i="5"/>
  <c r="D121" i="5" s="1"/>
  <c r="E121" i="5" s="1"/>
  <c r="AB115" i="5" l="1"/>
  <c r="F12" i="22" s="1"/>
  <c r="Z98" i="7"/>
  <c r="AB79" i="5"/>
  <c r="BC72" i="6" s="1"/>
  <c r="AB97" i="5"/>
  <c r="BC87" i="6" s="1"/>
  <c r="Z95" i="5"/>
  <c r="Z113" i="5"/>
  <c r="AB77" i="5"/>
  <c r="D10" i="22" s="1"/>
  <c r="AB95" i="5"/>
  <c r="BC86" i="6" s="1"/>
  <c r="AA101" i="7"/>
  <c r="AB101" i="7" s="1"/>
  <c r="BC89" i="8" s="1"/>
  <c r="AA99" i="7"/>
  <c r="L113" i="5"/>
  <c r="Z101" i="7"/>
  <c r="Z96" i="7"/>
  <c r="D101" i="7"/>
  <c r="AA97" i="7"/>
  <c r="C108" i="7"/>
  <c r="F102" i="7" s="1"/>
  <c r="AA98" i="7"/>
  <c r="Z77" i="5"/>
  <c r="D97" i="7"/>
  <c r="D98" i="7"/>
  <c r="E98" i="7" s="1"/>
  <c r="D104" i="7"/>
  <c r="E104" i="7" s="1"/>
  <c r="S101" i="7"/>
  <c r="AA100" i="7"/>
  <c r="D105" i="7"/>
  <c r="E105" i="7" s="1"/>
  <c r="D103" i="7"/>
  <c r="E103" i="7" s="1"/>
  <c r="L77" i="5"/>
  <c r="AA96" i="7"/>
  <c r="L95" i="5"/>
  <c r="L100" i="5"/>
  <c r="AB118" i="5"/>
  <c r="H12" i="22" s="1"/>
  <c r="D96" i="7"/>
  <c r="D102" i="7"/>
  <c r="AB82" i="5"/>
  <c r="BC73" i="6" s="1"/>
  <c r="BC88" i="6"/>
  <c r="H11" i="22"/>
  <c r="S82" i="5"/>
  <c r="S95" i="5"/>
  <c r="S96" i="7"/>
  <c r="T101" i="7"/>
  <c r="T102" i="7"/>
  <c r="T96" i="7"/>
  <c r="T98" i="7"/>
  <c r="U98" i="7" s="1"/>
  <c r="T97" i="7"/>
  <c r="M101" i="7"/>
  <c r="M97" i="7"/>
  <c r="M96" i="7"/>
  <c r="M98" i="7"/>
  <c r="N98" i="7" s="1"/>
  <c r="M102" i="7"/>
  <c r="L96" i="7"/>
  <c r="M119" i="5"/>
  <c r="M118" i="5"/>
  <c r="M113" i="5"/>
  <c r="M115" i="5"/>
  <c r="N115" i="5" s="1"/>
  <c r="M114" i="5"/>
  <c r="L118" i="5"/>
  <c r="T95" i="5"/>
  <c r="T96" i="5"/>
  <c r="T100" i="5"/>
  <c r="T97" i="5"/>
  <c r="U97" i="5" s="1"/>
  <c r="T101" i="5"/>
  <c r="M96" i="5"/>
  <c r="M101" i="5"/>
  <c r="M95" i="5"/>
  <c r="M100" i="5"/>
  <c r="M97" i="5"/>
  <c r="N97" i="5" s="1"/>
  <c r="S100" i="5"/>
  <c r="S77" i="5"/>
  <c r="M82" i="5"/>
  <c r="M77" i="5"/>
  <c r="M83" i="5"/>
  <c r="M79" i="5"/>
  <c r="N79" i="5" s="1"/>
  <c r="M78" i="5"/>
  <c r="L82" i="5"/>
  <c r="T77" i="5"/>
  <c r="T78" i="5"/>
  <c r="T83" i="5"/>
  <c r="T79" i="5"/>
  <c r="U79" i="5" s="1"/>
  <c r="T82" i="5"/>
  <c r="D77" i="5"/>
  <c r="E77" i="5" s="1"/>
  <c r="D84" i="5"/>
  <c r="E84" i="5" s="1"/>
  <c r="C89" i="5"/>
  <c r="F82" i="5" s="1"/>
  <c r="D123" i="5"/>
  <c r="E123" i="5" s="1"/>
  <c r="D79" i="5"/>
  <c r="E79" i="5" s="1"/>
  <c r="D100" i="5"/>
  <c r="D96" i="5"/>
  <c r="D86" i="5"/>
  <c r="E86" i="5" s="1"/>
  <c r="C125" i="5"/>
  <c r="F113" i="5" s="1"/>
  <c r="D83" i="5"/>
  <c r="D85" i="5"/>
  <c r="E85" i="5" s="1"/>
  <c r="C107" i="5"/>
  <c r="F97" i="5" s="1"/>
  <c r="G97" i="5" s="1"/>
  <c r="D82" i="5"/>
  <c r="D87" i="5"/>
  <c r="E87" i="5" s="1"/>
  <c r="D119" i="5"/>
  <c r="D95" i="5"/>
  <c r="D122" i="5"/>
  <c r="E122" i="5" s="1"/>
  <c r="D97" i="5"/>
  <c r="E97" i="5" s="1"/>
  <c r="D101" i="5"/>
  <c r="D102" i="5"/>
  <c r="E102" i="5" s="1"/>
  <c r="D120" i="5"/>
  <c r="E120" i="5" s="1"/>
  <c r="D104" i="5"/>
  <c r="E104" i="5" s="1"/>
  <c r="D114" i="5"/>
  <c r="D103" i="5"/>
  <c r="E103" i="5" s="1"/>
  <c r="D115" i="5"/>
  <c r="E115" i="5" s="1"/>
  <c r="D113" i="5"/>
  <c r="D118" i="5"/>
  <c r="X15" i="5"/>
  <c r="X14" i="5"/>
  <c r="X13" i="5"/>
  <c r="X12" i="5"/>
  <c r="X11" i="5"/>
  <c r="X10" i="5"/>
  <c r="F10" i="22" l="1"/>
  <c r="AB98" i="7"/>
  <c r="BC88" i="8" s="1"/>
  <c r="F11" i="22"/>
  <c r="BC71" i="6"/>
  <c r="F101" i="7"/>
  <c r="G101" i="7" s="1"/>
  <c r="H18" i="9" s="1"/>
  <c r="F96" i="7"/>
  <c r="F97" i="7"/>
  <c r="D11" i="22"/>
  <c r="F98" i="7"/>
  <c r="G98" i="7" s="1"/>
  <c r="F18" i="9" s="1"/>
  <c r="H10" i="22"/>
  <c r="H19" i="22"/>
  <c r="E96" i="7"/>
  <c r="AB96" i="7"/>
  <c r="D19" i="22" s="1"/>
  <c r="E101" i="7"/>
  <c r="G5" i="22"/>
  <c r="U82" i="5"/>
  <c r="BB73" i="6" s="1"/>
  <c r="N101" i="7"/>
  <c r="BA89" i="8" s="1"/>
  <c r="N118" i="5"/>
  <c r="F11" i="9"/>
  <c r="AZ87" i="6"/>
  <c r="BA72" i="6"/>
  <c r="F10" i="20"/>
  <c r="BB72" i="6"/>
  <c r="F10" i="21"/>
  <c r="BB87" i="6"/>
  <c r="F11" i="21"/>
  <c r="F19" i="21"/>
  <c r="BB88" i="8"/>
  <c r="BA87" i="6"/>
  <c r="F11" i="20"/>
  <c r="F18" i="20"/>
  <c r="BA88" i="8"/>
  <c r="N96" i="7"/>
  <c r="U96" i="7"/>
  <c r="U101" i="7"/>
  <c r="N113" i="5"/>
  <c r="N95" i="5"/>
  <c r="U100" i="5"/>
  <c r="N100" i="5"/>
  <c r="U95" i="5"/>
  <c r="N77" i="5"/>
  <c r="U77" i="5"/>
  <c r="N82" i="5"/>
  <c r="E95" i="5"/>
  <c r="F78" i="5"/>
  <c r="F77" i="5"/>
  <c r="F83" i="5"/>
  <c r="G82" i="5" s="1"/>
  <c r="F114" i="5"/>
  <c r="G113" i="5" s="1"/>
  <c r="F115" i="5"/>
  <c r="G115" i="5" s="1"/>
  <c r="F118" i="5"/>
  <c r="F119" i="5"/>
  <c r="F79" i="5"/>
  <c r="G79" i="5" s="1"/>
  <c r="E82" i="5"/>
  <c r="F101" i="5"/>
  <c r="E100" i="5"/>
  <c r="F100" i="5"/>
  <c r="E118" i="5"/>
  <c r="F95" i="5"/>
  <c r="F96" i="5"/>
  <c r="E113" i="5"/>
  <c r="Q11" i="5"/>
  <c r="Q10" i="5"/>
  <c r="F19" i="22" l="1"/>
  <c r="G77" i="5"/>
  <c r="D10" i="9" s="1"/>
  <c r="AZ89" i="8"/>
  <c r="G96" i="7"/>
  <c r="D18" i="9" s="1"/>
  <c r="H10" i="21"/>
  <c r="AZ88" i="8"/>
  <c r="BC87" i="8"/>
  <c r="H18" i="20"/>
  <c r="G5" i="21"/>
  <c r="G95" i="5"/>
  <c r="D11" i="9" s="1"/>
  <c r="BA87" i="8"/>
  <c r="D18" i="20"/>
  <c r="BB88" i="6"/>
  <c r="H11" i="21"/>
  <c r="F10" i="9"/>
  <c r="AZ72" i="6"/>
  <c r="BA86" i="6"/>
  <c r="D11" i="20"/>
  <c r="BA73" i="6"/>
  <c r="H10" i="20"/>
  <c r="BA88" i="6"/>
  <c r="H11" i="20"/>
  <c r="BB71" i="6"/>
  <c r="D10" i="21"/>
  <c r="BA71" i="6"/>
  <c r="D10" i="20"/>
  <c r="BB89" i="8"/>
  <c r="H19" i="21"/>
  <c r="H10" i="9"/>
  <c r="AZ73" i="6"/>
  <c r="BB86" i="6"/>
  <c r="D11" i="21"/>
  <c r="D19" i="21"/>
  <c r="BB87" i="8"/>
  <c r="G118" i="5"/>
  <c r="G100" i="5"/>
  <c r="J15" i="5"/>
  <c r="J14" i="5"/>
  <c r="J13" i="5"/>
  <c r="J12" i="5"/>
  <c r="J11" i="5"/>
  <c r="J10" i="5"/>
  <c r="J6" i="5"/>
  <c r="J5" i="5"/>
  <c r="AZ71" i="6" l="1"/>
  <c r="AZ87" i="8"/>
  <c r="AZ86" i="6"/>
  <c r="G5" i="20"/>
  <c r="C5" i="20"/>
  <c r="H11" i="9"/>
  <c r="AZ88" i="6"/>
  <c r="X9" i="5"/>
  <c r="X8" i="5"/>
  <c r="X7" i="5"/>
  <c r="X6" i="5"/>
  <c r="X5" i="5"/>
  <c r="Q7" i="5"/>
  <c r="E5" i="21" s="1"/>
  <c r="Q6" i="5"/>
  <c r="C7" i="5"/>
  <c r="C6" i="5"/>
  <c r="C5" i="5"/>
  <c r="C15" i="5"/>
  <c r="C14" i="5"/>
  <c r="C13" i="5"/>
  <c r="C12" i="5"/>
  <c r="C11" i="5"/>
  <c r="C10" i="5"/>
  <c r="Q16" i="5" l="1"/>
  <c r="Q17" i="5" s="1"/>
  <c r="E5" i="22"/>
  <c r="C5" i="22"/>
  <c r="C5" i="21"/>
  <c r="J7" i="5"/>
  <c r="E5" i="20" s="1"/>
  <c r="X89" i="7" l="1"/>
  <c r="Y86" i="7" s="1"/>
  <c r="Z86" i="7" s="1"/>
  <c r="X71" i="7"/>
  <c r="Y68" i="7" s="1"/>
  <c r="Z68" i="7" s="1"/>
  <c r="X53" i="7"/>
  <c r="Y49" i="7" s="1"/>
  <c r="Z49" i="7" s="1"/>
  <c r="X35" i="7"/>
  <c r="Y33" i="7" s="1"/>
  <c r="Z33" i="7" s="1"/>
  <c r="X16" i="7"/>
  <c r="Y14" i="7" s="1"/>
  <c r="Z14" i="7" s="1"/>
  <c r="Y28" i="7" l="1"/>
  <c r="Y45" i="7"/>
  <c r="Y63" i="7"/>
  <c r="Y27" i="7"/>
  <c r="Y62" i="7"/>
  <c r="Y80" i="7"/>
  <c r="Y44" i="7"/>
  <c r="Y81" i="7"/>
  <c r="Y26" i="7"/>
  <c r="Y46" i="7"/>
  <c r="Y64" i="7"/>
  <c r="Y82" i="7"/>
  <c r="X16" i="5"/>
  <c r="Y12" i="5" s="1"/>
  <c r="Z12" i="5" s="1"/>
  <c r="Y5" i="7"/>
  <c r="Y43" i="7"/>
  <c r="Y67" i="7"/>
  <c r="Z67" i="7" s="1"/>
  <c r="Y48" i="7"/>
  <c r="Y51" i="7"/>
  <c r="Z51" i="7" s="1"/>
  <c r="X54" i="7"/>
  <c r="Y11" i="7"/>
  <c r="Y84" i="7"/>
  <c r="Y8" i="7"/>
  <c r="Y85" i="7"/>
  <c r="Z85" i="7" s="1"/>
  <c r="Y13" i="7"/>
  <c r="Z13" i="7" s="1"/>
  <c r="X17" i="7"/>
  <c r="AA6" i="7" s="1"/>
  <c r="Y12" i="7"/>
  <c r="Z12" i="7" s="1"/>
  <c r="Y66" i="7"/>
  <c r="Y69" i="7"/>
  <c r="Z69" i="7" s="1"/>
  <c r="Y88" i="7"/>
  <c r="Z88" i="7" s="1"/>
  <c r="X90" i="7"/>
  <c r="Y10" i="7"/>
  <c r="Y15" i="7"/>
  <c r="Z15" i="7" s="1"/>
  <c r="Y7" i="7"/>
  <c r="Y70" i="7"/>
  <c r="Z70" i="7" s="1"/>
  <c r="Y78" i="7"/>
  <c r="Y87" i="7"/>
  <c r="Z87" i="7" s="1"/>
  <c r="Y9" i="7"/>
  <c r="Y60" i="7"/>
  <c r="Y83" i="7"/>
  <c r="Y79" i="7"/>
  <c r="X72" i="7"/>
  <c r="Y65" i="7"/>
  <c r="Y61" i="7"/>
  <c r="Y52" i="7"/>
  <c r="Z52" i="7" s="1"/>
  <c r="Y50" i="7"/>
  <c r="Z50" i="7" s="1"/>
  <c r="Y47" i="7"/>
  <c r="Y42" i="7"/>
  <c r="Y34" i="7"/>
  <c r="Z34" i="7" s="1"/>
  <c r="Y24" i="7"/>
  <c r="Y25" i="7"/>
  <c r="Y31" i="7"/>
  <c r="Z31" i="7" s="1"/>
  <c r="Y30" i="7"/>
  <c r="Y29" i="7"/>
  <c r="X36" i="7"/>
  <c r="Y32" i="7"/>
  <c r="Z32" i="7" s="1"/>
  <c r="Y6" i="7"/>
  <c r="X34" i="5"/>
  <c r="X70" i="5"/>
  <c r="Y60" i="5" s="1"/>
  <c r="X52" i="5"/>
  <c r="Y43" i="5" s="1"/>
  <c r="Y30" i="5" l="1"/>
  <c r="Z30" i="5" s="1"/>
  <c r="Y122" i="5"/>
  <c r="Z122" i="5" s="1"/>
  <c r="Y121" i="5"/>
  <c r="Z121" i="5" s="1"/>
  <c r="Y101" i="5"/>
  <c r="Y87" i="5"/>
  <c r="Z87" i="5" s="1"/>
  <c r="Y100" i="5"/>
  <c r="Y99" i="5"/>
  <c r="Y83" i="5"/>
  <c r="Y116" i="5"/>
  <c r="Y123" i="5"/>
  <c r="Z123" i="5" s="1"/>
  <c r="Y82" i="5"/>
  <c r="Y80" i="5"/>
  <c r="Y85" i="5"/>
  <c r="Z85" i="5" s="1"/>
  <c r="Y105" i="5"/>
  <c r="Z105" i="5" s="1"/>
  <c r="Y81" i="5"/>
  <c r="Y79" i="5"/>
  <c r="Y119" i="5"/>
  <c r="Y102" i="5"/>
  <c r="Z102" i="5" s="1"/>
  <c r="Y84" i="5"/>
  <c r="Z84" i="5" s="1"/>
  <c r="Y120" i="5"/>
  <c r="Z120" i="5" s="1"/>
  <c r="Y97" i="5"/>
  <c r="Y104" i="5"/>
  <c r="Z104" i="5" s="1"/>
  <c r="Y103" i="5"/>
  <c r="Z103" i="5" s="1"/>
  <c r="Y115" i="5"/>
  <c r="Y98" i="5"/>
  <c r="Y118" i="5"/>
  <c r="Y117" i="5"/>
  <c r="Y86" i="5"/>
  <c r="Z86" i="5" s="1"/>
  <c r="Z5" i="7"/>
  <c r="Z47" i="7"/>
  <c r="AA79" i="7"/>
  <c r="AA81" i="7"/>
  <c r="AA82" i="7"/>
  <c r="AA83" i="7"/>
  <c r="AA84" i="7"/>
  <c r="AA80" i="7"/>
  <c r="AA43" i="7"/>
  <c r="AA44" i="7"/>
  <c r="AA45" i="7"/>
  <c r="AA46" i="7"/>
  <c r="X17" i="5"/>
  <c r="AA5" i="5" s="1"/>
  <c r="Y6" i="5"/>
  <c r="Y5" i="5"/>
  <c r="Y41" i="5"/>
  <c r="Y42" i="5"/>
  <c r="AA30" i="7"/>
  <c r="AA26" i="7"/>
  <c r="AA28" i="7"/>
  <c r="AA27" i="7"/>
  <c r="AA60" i="7"/>
  <c r="AA65" i="7"/>
  <c r="AA62" i="7"/>
  <c r="AA63" i="7"/>
  <c r="AA64" i="7"/>
  <c r="AA66" i="7"/>
  <c r="Y47" i="5"/>
  <c r="X53" i="5"/>
  <c r="Y51" i="5"/>
  <c r="Z51" i="5" s="1"/>
  <c r="Y49" i="5"/>
  <c r="Z49" i="5" s="1"/>
  <c r="Y48" i="5"/>
  <c r="Z48" i="5" s="1"/>
  <c r="Y50" i="5"/>
  <c r="Z50" i="5" s="1"/>
  <c r="Y46" i="5"/>
  <c r="Y45" i="5"/>
  <c r="Y44" i="5"/>
  <c r="Z42" i="7"/>
  <c r="AA47" i="7"/>
  <c r="AA24" i="7"/>
  <c r="Z83" i="7"/>
  <c r="AA25" i="7"/>
  <c r="AA29" i="7"/>
  <c r="AA61" i="7"/>
  <c r="AA48" i="7"/>
  <c r="AA42" i="7"/>
  <c r="Z10" i="7"/>
  <c r="Z60" i="7"/>
  <c r="Z62" i="7"/>
  <c r="AA78" i="7"/>
  <c r="Z29" i="7"/>
  <c r="Z24" i="7"/>
  <c r="Z78" i="7"/>
  <c r="Z65" i="7"/>
  <c r="Y9" i="5"/>
  <c r="Z26" i="7"/>
  <c r="X71" i="5"/>
  <c r="Z80" i="7"/>
  <c r="Z7" i="7"/>
  <c r="AA5" i="7"/>
  <c r="AB5" i="7" s="1"/>
  <c r="D14" i="22" s="1"/>
  <c r="AA11" i="7"/>
  <c r="AA9" i="7"/>
  <c r="AA10" i="7"/>
  <c r="AA8" i="7"/>
  <c r="AA7" i="7"/>
  <c r="Y59" i="5"/>
  <c r="Z59" i="5" s="1"/>
  <c r="Y10" i="5"/>
  <c r="Z44" i="7"/>
  <c r="Y31" i="5"/>
  <c r="Z31" i="5" s="1"/>
  <c r="Y61" i="5"/>
  <c r="X35" i="5"/>
  <c r="AA23" i="5" s="1"/>
  <c r="Y69" i="5"/>
  <c r="Z69" i="5" s="1"/>
  <c r="Y65" i="5"/>
  <c r="Y67" i="5"/>
  <c r="Z67" i="5" s="1"/>
  <c r="Y64" i="5"/>
  <c r="Y33" i="5"/>
  <c r="Z33" i="5" s="1"/>
  <c r="Y23" i="5"/>
  <c r="Y25" i="5"/>
  <c r="Y63" i="5"/>
  <c r="Y14" i="5"/>
  <c r="Z14" i="5" s="1"/>
  <c r="Y68" i="5"/>
  <c r="Z68" i="5" s="1"/>
  <c r="Y29" i="5"/>
  <c r="Y32" i="5"/>
  <c r="Z32" i="5" s="1"/>
  <c r="Y27" i="5"/>
  <c r="Y62" i="5"/>
  <c r="Y66" i="5"/>
  <c r="Z66" i="5" s="1"/>
  <c r="Y28" i="5"/>
  <c r="Y24" i="5"/>
  <c r="Y26" i="5"/>
  <c r="Y8" i="5"/>
  <c r="Y7" i="5"/>
  <c r="Y11" i="5"/>
  <c r="Y15" i="5"/>
  <c r="Z15" i="5" s="1"/>
  <c r="Y13" i="5"/>
  <c r="Z13" i="5" s="1"/>
  <c r="Z79" i="5" l="1"/>
  <c r="Z100" i="5"/>
  <c r="Z115" i="5"/>
  <c r="Z97" i="5"/>
  <c r="Z82" i="5"/>
  <c r="Z118" i="5"/>
  <c r="Z43" i="5"/>
  <c r="AB42" i="7"/>
  <c r="D16" i="22" s="1"/>
  <c r="AB62" i="7"/>
  <c r="F17" i="22" s="1"/>
  <c r="AB80" i="7"/>
  <c r="F18" i="22" s="1"/>
  <c r="AB44" i="7"/>
  <c r="F16" i="22" s="1"/>
  <c r="AB26" i="7"/>
  <c r="F15" i="22" s="1"/>
  <c r="AB7" i="7"/>
  <c r="F14" i="22" s="1"/>
  <c r="Z10" i="5"/>
  <c r="AB10" i="7"/>
  <c r="H14" i="22" s="1"/>
  <c r="AA41" i="5"/>
  <c r="AA42" i="5"/>
  <c r="AA46" i="5"/>
  <c r="AA47" i="5"/>
  <c r="AA45" i="5"/>
  <c r="AA43" i="5"/>
  <c r="AA44" i="5"/>
  <c r="AA59" i="5"/>
  <c r="AA60" i="5"/>
  <c r="AA61" i="5"/>
  <c r="AA62" i="5"/>
  <c r="AA63" i="5"/>
  <c r="AA65" i="5"/>
  <c r="AA64" i="5"/>
  <c r="Z41" i="5"/>
  <c r="AB47" i="7"/>
  <c r="H16" i="22" s="1"/>
  <c r="Z28" i="5"/>
  <c r="Z7" i="5"/>
  <c r="Z23" i="5"/>
  <c r="Z46" i="5"/>
  <c r="Z5" i="5"/>
  <c r="Z64" i="5"/>
  <c r="Z25" i="5"/>
  <c r="AA24" i="5"/>
  <c r="AA29" i="5"/>
  <c r="AA27" i="5"/>
  <c r="AA25" i="5"/>
  <c r="AA26" i="5"/>
  <c r="AA28" i="5"/>
  <c r="AA11" i="5"/>
  <c r="AA8" i="5"/>
  <c r="AA7" i="5"/>
  <c r="AA10" i="5"/>
  <c r="AA6" i="5"/>
  <c r="AA9" i="5"/>
  <c r="Z61" i="5"/>
  <c r="AB25" i="5" l="1"/>
  <c r="F7" i="22" s="1"/>
  <c r="AB61" i="5"/>
  <c r="F9" i="22" s="1"/>
  <c r="AB10" i="5"/>
  <c r="H5" i="22" s="1"/>
  <c r="AB7" i="5"/>
  <c r="F5" i="22" s="1"/>
  <c r="AB59" i="5"/>
  <c r="D9" i="22" s="1"/>
  <c r="AB41" i="5"/>
  <c r="D8" i="22" s="1"/>
  <c r="AB43" i="5"/>
  <c r="F8" i="22" s="1"/>
  <c r="AB64" i="5"/>
  <c r="H9" i="22" s="1"/>
  <c r="AB23" i="5"/>
  <c r="D7" i="22" s="1"/>
  <c r="AB46" i="5"/>
  <c r="H8" i="22" s="1"/>
  <c r="AB5" i="5"/>
  <c r="AD5" i="5" l="1"/>
  <c r="D5" i="22"/>
  <c r="AD7" i="5"/>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AB83" i="7" l="1"/>
  <c r="H18" i="22" s="1"/>
  <c r="AB78" i="7"/>
  <c r="D18" i="22" s="1"/>
  <c r="AB65" i="7"/>
  <c r="H17" i="22" s="1"/>
  <c r="AB60" i="7"/>
  <c r="D17" i="22" s="1"/>
  <c r="BC41" i="8"/>
  <c r="BC40" i="8"/>
  <c r="BC39" i="8"/>
  <c r="AB29" i="7"/>
  <c r="H15" i="22" s="1"/>
  <c r="AB24" i="7"/>
  <c r="D15" i="22" s="1"/>
  <c r="BC7" i="8"/>
  <c r="G14" i="9" l="1"/>
  <c r="BC71" i="8"/>
  <c r="BC72" i="8"/>
  <c r="BC73" i="8"/>
  <c r="BC57" i="8"/>
  <c r="BC55" i="8"/>
  <c r="BC56" i="8"/>
  <c r="BC24" i="8"/>
  <c r="BC25" i="8"/>
  <c r="BC23" i="8"/>
  <c r="BC9" i="8"/>
  <c r="BC8" i="8"/>
  <c r="G16" i="9"/>
  <c r="C89" i="7"/>
  <c r="C90" i="7" s="1"/>
  <c r="F83" i="7" s="1"/>
  <c r="J35" i="7"/>
  <c r="K29" i="7" s="1"/>
  <c r="Q89" i="7"/>
  <c r="R84" i="7" s="1"/>
  <c r="Q71" i="7"/>
  <c r="R70" i="7" s="1"/>
  <c r="S70" i="7" s="1"/>
  <c r="Q35" i="7"/>
  <c r="R32" i="7" s="1"/>
  <c r="S32" i="7" s="1"/>
  <c r="Q16" i="7"/>
  <c r="J89" i="7"/>
  <c r="K85" i="7" s="1"/>
  <c r="L85" i="7" s="1"/>
  <c r="J71" i="7"/>
  <c r="K67" i="7" s="1"/>
  <c r="L67" i="7" s="1"/>
  <c r="J16" i="7"/>
  <c r="K15" i="7" s="1"/>
  <c r="L15" i="7" s="1"/>
  <c r="Q53" i="7"/>
  <c r="R47" i="7" s="1"/>
  <c r="J53" i="7"/>
  <c r="K49" i="7" s="1"/>
  <c r="L49" i="7" s="1"/>
  <c r="C35" i="7"/>
  <c r="D24" i="7" s="1"/>
  <c r="C53" i="7"/>
  <c r="C54" i="7" s="1"/>
  <c r="C71" i="7"/>
  <c r="D62" i="7" s="1"/>
  <c r="E62" i="7" s="1"/>
  <c r="C16" i="7"/>
  <c r="C17" i="7" s="1"/>
  <c r="F10" i="7" s="1"/>
  <c r="G17" i="9"/>
  <c r="G15" i="9"/>
  <c r="G13" i="9"/>
  <c r="E17" i="9"/>
  <c r="E16" i="9"/>
  <c r="E15" i="9"/>
  <c r="E14" i="9"/>
  <c r="E13" i="9"/>
  <c r="C17" i="9"/>
  <c r="C16" i="9"/>
  <c r="C15" i="9"/>
  <c r="C14" i="9"/>
  <c r="C13" i="9"/>
  <c r="Q17" i="7" l="1"/>
  <c r="T7" i="7" s="1"/>
  <c r="U7" i="7" s="1"/>
  <c r="F14" i="21" s="1"/>
  <c r="R7" i="7"/>
  <c r="S7" i="7" s="1"/>
  <c r="D88" i="7"/>
  <c r="E88" i="7" s="1"/>
  <c r="D79" i="7"/>
  <c r="D80" i="7"/>
  <c r="E80" i="7" s="1"/>
  <c r="D87" i="7"/>
  <c r="E87" i="7" s="1"/>
  <c r="D86" i="7"/>
  <c r="E86" i="7" s="1"/>
  <c r="D83" i="7"/>
  <c r="D85" i="7"/>
  <c r="E85" i="7" s="1"/>
  <c r="R29" i="7"/>
  <c r="K26" i="7"/>
  <c r="L26" i="7" s="1"/>
  <c r="D78" i="7"/>
  <c r="R26" i="7"/>
  <c r="S26" i="7" s="1"/>
  <c r="R31" i="7"/>
  <c r="S31" i="7" s="1"/>
  <c r="D84" i="7"/>
  <c r="R24" i="7"/>
  <c r="R33" i="7"/>
  <c r="S33" i="7" s="1"/>
  <c r="Q36" i="7"/>
  <c r="T25" i="7" s="1"/>
  <c r="D26" i="7"/>
  <c r="E26" i="7" s="1"/>
  <c r="R30" i="7"/>
  <c r="R34" i="7"/>
  <c r="S34" i="7" s="1"/>
  <c r="R25" i="7"/>
  <c r="D34" i="7"/>
  <c r="E34" i="7" s="1"/>
  <c r="D29" i="7"/>
  <c r="D33" i="7"/>
  <c r="E33" i="7" s="1"/>
  <c r="D31" i="7"/>
  <c r="E31" i="7" s="1"/>
  <c r="K25" i="7"/>
  <c r="K34" i="7"/>
  <c r="L34" i="7" s="1"/>
  <c r="R13" i="7"/>
  <c r="S13" i="7" s="1"/>
  <c r="K24" i="7"/>
  <c r="K33" i="7"/>
  <c r="L33" i="7" s="1"/>
  <c r="K87" i="7"/>
  <c r="L87" i="7" s="1"/>
  <c r="J90" i="7"/>
  <c r="M84" i="7" s="1"/>
  <c r="R6" i="7"/>
  <c r="F79" i="7"/>
  <c r="F84" i="7"/>
  <c r="G83" i="7" s="1"/>
  <c r="R88" i="7"/>
  <c r="S88" i="7" s="1"/>
  <c r="K31" i="7"/>
  <c r="L31" i="7" s="1"/>
  <c r="J36" i="7"/>
  <c r="M25" i="7" s="1"/>
  <c r="R78" i="7"/>
  <c r="D30" i="7"/>
  <c r="C36" i="7"/>
  <c r="F30" i="7" s="1"/>
  <c r="K30" i="7"/>
  <c r="L29" i="7" s="1"/>
  <c r="K32" i="7"/>
  <c r="L32" i="7" s="1"/>
  <c r="K88" i="7"/>
  <c r="L88" i="7" s="1"/>
  <c r="Q90" i="7"/>
  <c r="T79" i="7" s="1"/>
  <c r="R67" i="7"/>
  <c r="S67" i="7" s="1"/>
  <c r="D25" i="7"/>
  <c r="E24" i="7" s="1"/>
  <c r="D32" i="7"/>
  <c r="E32" i="7" s="1"/>
  <c r="D44" i="7"/>
  <c r="E44" i="7" s="1"/>
  <c r="D51" i="7"/>
  <c r="E51" i="7" s="1"/>
  <c r="D47" i="7"/>
  <c r="D42" i="7"/>
  <c r="D50" i="7"/>
  <c r="E50" i="7" s="1"/>
  <c r="F43" i="7"/>
  <c r="F47" i="7"/>
  <c r="R62" i="7"/>
  <c r="S62" i="7" s="1"/>
  <c r="D48" i="7"/>
  <c r="D49" i="7"/>
  <c r="E49" i="7" s="1"/>
  <c r="D68" i="7"/>
  <c r="E68" i="7" s="1"/>
  <c r="K83" i="7"/>
  <c r="K86" i="7"/>
  <c r="L86" i="7" s="1"/>
  <c r="R79" i="7"/>
  <c r="R86" i="7"/>
  <c r="S86" i="7" s="1"/>
  <c r="R83" i="7"/>
  <c r="S83" i="7" s="1"/>
  <c r="D43" i="7"/>
  <c r="D52" i="7"/>
  <c r="E52" i="7" s="1"/>
  <c r="D65" i="7"/>
  <c r="K79" i="7"/>
  <c r="K70" i="7"/>
  <c r="L70" i="7" s="1"/>
  <c r="K84" i="7"/>
  <c r="R87" i="7"/>
  <c r="S87" i="7" s="1"/>
  <c r="R80" i="7"/>
  <c r="S80" i="7" s="1"/>
  <c r="R85" i="7"/>
  <c r="S85" i="7" s="1"/>
  <c r="J72" i="7"/>
  <c r="M60" i="7" s="1"/>
  <c r="K80" i="7"/>
  <c r="L80" i="7" s="1"/>
  <c r="K78" i="7"/>
  <c r="K6" i="7"/>
  <c r="K7" i="7"/>
  <c r="L7" i="7" s="1"/>
  <c r="K13" i="7"/>
  <c r="L13" i="7" s="1"/>
  <c r="K11" i="7"/>
  <c r="K68" i="7"/>
  <c r="L68" i="7" s="1"/>
  <c r="K14" i="7"/>
  <c r="L14" i="7" s="1"/>
  <c r="K12" i="7"/>
  <c r="L12" i="7" s="1"/>
  <c r="K47" i="7"/>
  <c r="K5" i="7"/>
  <c r="J17" i="7"/>
  <c r="M6" i="7" s="1"/>
  <c r="K10" i="7"/>
  <c r="R68" i="7"/>
  <c r="S68" i="7" s="1"/>
  <c r="R60" i="7"/>
  <c r="R69" i="7"/>
  <c r="S69" i="7" s="1"/>
  <c r="R65" i="7"/>
  <c r="R66" i="7"/>
  <c r="R61" i="7"/>
  <c r="Q72" i="7"/>
  <c r="T65" i="7" s="1"/>
  <c r="R14" i="7"/>
  <c r="S14" i="7" s="1"/>
  <c r="R5" i="7"/>
  <c r="R10" i="7"/>
  <c r="R15" i="7"/>
  <c r="S15" i="7" s="1"/>
  <c r="R12" i="7"/>
  <c r="S12" i="7" s="1"/>
  <c r="R11" i="7"/>
  <c r="K61" i="7"/>
  <c r="K60" i="7"/>
  <c r="K69" i="7"/>
  <c r="L69" i="7" s="1"/>
  <c r="K62" i="7"/>
  <c r="L62" i="7" s="1"/>
  <c r="K65" i="7"/>
  <c r="K66" i="7"/>
  <c r="R51" i="7"/>
  <c r="S51" i="7" s="1"/>
  <c r="R43" i="7"/>
  <c r="R52" i="7"/>
  <c r="S52" i="7" s="1"/>
  <c r="R48" i="7"/>
  <c r="S47" i="7" s="1"/>
  <c r="R44" i="7"/>
  <c r="S44" i="7" s="1"/>
  <c r="R42" i="7"/>
  <c r="Q54" i="7"/>
  <c r="R50" i="7"/>
  <c r="S50" i="7" s="1"/>
  <c r="R49" i="7"/>
  <c r="S49" i="7" s="1"/>
  <c r="K52" i="7"/>
  <c r="L52" i="7" s="1"/>
  <c r="K48" i="7"/>
  <c r="K44" i="7"/>
  <c r="L44" i="7" s="1"/>
  <c r="K42" i="7"/>
  <c r="J54" i="7"/>
  <c r="K50" i="7"/>
  <c r="L50" i="7" s="1"/>
  <c r="K51" i="7"/>
  <c r="L51" i="7" s="1"/>
  <c r="K43" i="7"/>
  <c r="D66" i="7"/>
  <c r="D67" i="7"/>
  <c r="E67" i="7" s="1"/>
  <c r="D61" i="7"/>
  <c r="D69" i="7"/>
  <c r="E69" i="7" s="1"/>
  <c r="D70" i="7"/>
  <c r="E70" i="7" s="1"/>
  <c r="C72" i="7"/>
  <c r="F60" i="7" s="1"/>
  <c r="F11" i="7"/>
  <c r="G10" i="7" s="1"/>
  <c r="D60" i="7"/>
  <c r="F7" i="7"/>
  <c r="G7" i="7" s="1"/>
  <c r="F48" i="7"/>
  <c r="F42" i="7"/>
  <c r="F44" i="7"/>
  <c r="G44" i="7" s="1"/>
  <c r="F80" i="7"/>
  <c r="G80" i="7" s="1"/>
  <c r="F78" i="7"/>
  <c r="F6" i="7"/>
  <c r="F5" i="7"/>
  <c r="D6" i="7"/>
  <c r="BC57" i="6"/>
  <c r="BC56" i="6"/>
  <c r="BC55" i="6"/>
  <c r="BC41" i="6"/>
  <c r="BC40" i="6"/>
  <c r="BC39" i="6"/>
  <c r="AB28" i="5"/>
  <c r="H7" i="22" s="1"/>
  <c r="BC23" i="6"/>
  <c r="E5" i="9"/>
  <c r="T6" i="7" l="1"/>
  <c r="T11" i="7"/>
  <c r="T5" i="7"/>
  <c r="T10" i="7"/>
  <c r="L5" i="7"/>
  <c r="S60" i="7"/>
  <c r="BC24" i="6"/>
  <c r="BC25" i="6"/>
  <c r="BB8" i="8"/>
  <c r="AZ9" i="8"/>
  <c r="E8" i="9"/>
  <c r="AZ8" i="8"/>
  <c r="C5" i="9"/>
  <c r="J16" i="5"/>
  <c r="K7" i="5" s="1"/>
  <c r="C16" i="5"/>
  <c r="D5" i="5" s="1"/>
  <c r="T84" i="7"/>
  <c r="M79" i="7"/>
  <c r="E78" i="7"/>
  <c r="L78" i="7"/>
  <c r="E83" i="7"/>
  <c r="T29" i="7"/>
  <c r="H17" i="9"/>
  <c r="AZ73" i="8"/>
  <c r="F17" i="9"/>
  <c r="AZ72" i="8"/>
  <c r="S29" i="7"/>
  <c r="T30" i="7"/>
  <c r="T24" i="7"/>
  <c r="U24" i="7" s="1"/>
  <c r="D15" i="21" s="1"/>
  <c r="T26" i="7"/>
  <c r="U26" i="7" s="1"/>
  <c r="F15" i="21" s="1"/>
  <c r="S24" i="7"/>
  <c r="S42" i="7"/>
  <c r="G78" i="7"/>
  <c r="G42" i="7"/>
  <c r="M62" i="7"/>
  <c r="N62" i="7" s="1"/>
  <c r="F16" i="20" s="1"/>
  <c r="G47" i="7"/>
  <c r="M65" i="7"/>
  <c r="E29" i="7"/>
  <c r="M80" i="7"/>
  <c r="N80" i="7" s="1"/>
  <c r="F17" i="20" s="1"/>
  <c r="M83" i="7"/>
  <c r="N83" i="7" s="1"/>
  <c r="H17" i="20" s="1"/>
  <c r="E65" i="7"/>
  <c r="E42" i="7"/>
  <c r="E47" i="7"/>
  <c r="L24" i="7"/>
  <c r="S5" i="7"/>
  <c r="M78" i="7"/>
  <c r="T78" i="7"/>
  <c r="U78" i="7" s="1"/>
  <c r="D18" i="21" s="1"/>
  <c r="S78" i="7"/>
  <c r="L83" i="7"/>
  <c r="S10" i="7"/>
  <c r="G5" i="7"/>
  <c r="F26" i="7"/>
  <c r="G26" i="7" s="1"/>
  <c r="F25" i="7"/>
  <c r="F24" i="7"/>
  <c r="M11" i="7"/>
  <c r="T83" i="7"/>
  <c r="M29" i="7"/>
  <c r="M66" i="7"/>
  <c r="F29" i="7"/>
  <c r="G29" i="7" s="1"/>
  <c r="E60" i="7"/>
  <c r="M26" i="7"/>
  <c r="N26" i="7" s="1"/>
  <c r="F14" i="20" s="1"/>
  <c r="M24" i="7"/>
  <c r="N24" i="7" s="1"/>
  <c r="D14" i="20" s="1"/>
  <c r="M30" i="7"/>
  <c r="T80" i="7"/>
  <c r="U80" i="7" s="1"/>
  <c r="F18" i="21" s="1"/>
  <c r="F15" i="9"/>
  <c r="AZ40" i="8"/>
  <c r="L60" i="7"/>
  <c r="M61" i="7"/>
  <c r="N60" i="7" s="1"/>
  <c r="D16" i="20" s="1"/>
  <c r="M7" i="7"/>
  <c r="N7" i="7" s="1"/>
  <c r="F13" i="20" s="1"/>
  <c r="M5" i="7"/>
  <c r="N5" i="7" s="1"/>
  <c r="D13" i="20" s="1"/>
  <c r="L10" i="7"/>
  <c r="L47" i="7"/>
  <c r="M10" i="7"/>
  <c r="T62" i="7"/>
  <c r="U62" i="7" s="1"/>
  <c r="F17" i="21" s="1"/>
  <c r="S65" i="7"/>
  <c r="T66" i="7"/>
  <c r="U65" i="7" s="1"/>
  <c r="H17" i="21" s="1"/>
  <c r="T61" i="7"/>
  <c r="T60" i="7"/>
  <c r="L65" i="7"/>
  <c r="T48" i="7"/>
  <c r="T44" i="7"/>
  <c r="U44" i="7" s="1"/>
  <c r="F16" i="21" s="1"/>
  <c r="T43" i="7"/>
  <c r="T42" i="7"/>
  <c r="T47" i="7"/>
  <c r="M48" i="7"/>
  <c r="M44" i="7"/>
  <c r="N44" i="7" s="1"/>
  <c r="F15" i="20" s="1"/>
  <c r="M43" i="7"/>
  <c r="M42" i="7"/>
  <c r="M47" i="7"/>
  <c r="L42" i="7"/>
  <c r="F62" i="7"/>
  <c r="G62" i="7" s="1"/>
  <c r="F65" i="7"/>
  <c r="F66" i="7"/>
  <c r="F61" i="7"/>
  <c r="G60" i="7" s="1"/>
  <c r="G5" i="9"/>
  <c r="G8" i="9"/>
  <c r="C8" i="9"/>
  <c r="D15" i="7"/>
  <c r="E15" i="7" s="1"/>
  <c r="D14" i="7"/>
  <c r="E14" i="7" s="1"/>
  <c r="D13" i="7"/>
  <c r="E13" i="7" s="1"/>
  <c r="D12" i="7"/>
  <c r="E12" i="7" s="1"/>
  <c r="D7" i="7"/>
  <c r="E7" i="7" s="1"/>
  <c r="D11" i="7"/>
  <c r="D10" i="7"/>
  <c r="D5" i="7"/>
  <c r="E5" i="7" s="1"/>
  <c r="C52" i="5"/>
  <c r="D51" i="5" s="1"/>
  <c r="E51" i="5" s="1"/>
  <c r="C70" i="5"/>
  <c r="D64" i="5" s="1"/>
  <c r="BC8" i="6"/>
  <c r="J70" i="5"/>
  <c r="K66" i="5" s="1"/>
  <c r="L66" i="5" s="1"/>
  <c r="Q70" i="5"/>
  <c r="R67" i="5" s="1"/>
  <c r="S67" i="5" s="1"/>
  <c r="J52" i="5"/>
  <c r="Q52" i="5"/>
  <c r="R48" i="5" s="1"/>
  <c r="S48" i="5" s="1"/>
  <c r="Q34" i="5"/>
  <c r="J34" i="5"/>
  <c r="J35" i="5" s="1"/>
  <c r="C34" i="5"/>
  <c r="C35" i="5" s="1"/>
  <c r="U5" i="7" l="1"/>
  <c r="D14" i="21" s="1"/>
  <c r="U10" i="7"/>
  <c r="R32" i="5"/>
  <c r="S32" i="5" s="1"/>
  <c r="R25" i="5"/>
  <c r="S25" i="5" s="1"/>
  <c r="R15" i="5"/>
  <c r="S15" i="5" s="1"/>
  <c r="T5" i="5"/>
  <c r="R12" i="5"/>
  <c r="S12" i="5" s="1"/>
  <c r="R11" i="5"/>
  <c r="BB24" i="8"/>
  <c r="BB57" i="8"/>
  <c r="BB23" i="8"/>
  <c r="BB72" i="8"/>
  <c r="BB40" i="8"/>
  <c r="BB56" i="8"/>
  <c r="BB71" i="8"/>
  <c r="H15" i="9"/>
  <c r="AZ7" i="8"/>
  <c r="AZ39" i="8"/>
  <c r="K12" i="5"/>
  <c r="L12" i="5" s="1"/>
  <c r="BA72" i="8"/>
  <c r="BA56" i="8"/>
  <c r="BA8" i="8"/>
  <c r="BA23" i="8"/>
  <c r="BA7" i="8"/>
  <c r="BA55" i="8"/>
  <c r="BA24" i="8"/>
  <c r="BA40" i="8"/>
  <c r="BA73" i="8"/>
  <c r="K33" i="5"/>
  <c r="L33" i="5" s="1"/>
  <c r="K25" i="5"/>
  <c r="L25" i="5" s="1"/>
  <c r="K48" i="5"/>
  <c r="L48" i="5" s="1"/>
  <c r="K43" i="5"/>
  <c r="L43" i="5" s="1"/>
  <c r="N78" i="7"/>
  <c r="D17" i="20" s="1"/>
  <c r="U83" i="7"/>
  <c r="H18" i="21" s="1"/>
  <c r="U47" i="7"/>
  <c r="H16" i="21" s="1"/>
  <c r="U29" i="7"/>
  <c r="H15" i="21" s="1"/>
  <c r="N65" i="7"/>
  <c r="H16" i="20" s="1"/>
  <c r="F16" i="9"/>
  <c r="AZ56" i="8"/>
  <c r="D17" i="9"/>
  <c r="AZ71" i="8"/>
  <c r="D16" i="9"/>
  <c r="AZ55" i="8"/>
  <c r="D15" i="9"/>
  <c r="D49" i="5"/>
  <c r="E49" i="5" s="1"/>
  <c r="AZ41" i="8"/>
  <c r="N29" i="7"/>
  <c r="H14" i="20" s="1"/>
  <c r="G24" i="7"/>
  <c r="N10" i="7"/>
  <c r="H13" i="20" s="1"/>
  <c r="F14" i="9"/>
  <c r="AZ24" i="8"/>
  <c r="D59" i="5"/>
  <c r="H14" i="9"/>
  <c r="AZ25" i="8"/>
  <c r="N42" i="7"/>
  <c r="D15" i="20" s="1"/>
  <c r="U60" i="7"/>
  <c r="D17" i="21" s="1"/>
  <c r="U42" i="7"/>
  <c r="D16" i="21" s="1"/>
  <c r="N47" i="7"/>
  <c r="H15" i="20" s="1"/>
  <c r="G65" i="7"/>
  <c r="D50" i="5"/>
  <c r="E50" i="5" s="1"/>
  <c r="D68" i="5"/>
  <c r="E68" i="5" s="1"/>
  <c r="D46" i="5"/>
  <c r="D41" i="5"/>
  <c r="D48" i="5"/>
  <c r="E48" i="5" s="1"/>
  <c r="K13" i="5"/>
  <c r="L13" i="5" s="1"/>
  <c r="D42" i="5"/>
  <c r="D47" i="5"/>
  <c r="C53" i="5"/>
  <c r="F46" i="5" s="1"/>
  <c r="D61" i="5"/>
  <c r="E61" i="5" s="1"/>
  <c r="D67" i="5"/>
  <c r="E67" i="5" s="1"/>
  <c r="D66" i="5"/>
  <c r="E66" i="5" s="1"/>
  <c r="D65" i="5"/>
  <c r="E64" i="5" s="1"/>
  <c r="C71" i="5"/>
  <c r="F64" i="5" s="1"/>
  <c r="D43" i="5"/>
  <c r="E43" i="5" s="1"/>
  <c r="D60" i="5"/>
  <c r="D69" i="5"/>
  <c r="E69" i="5" s="1"/>
  <c r="E10" i="7"/>
  <c r="F13" i="9"/>
  <c r="R5" i="5"/>
  <c r="R6" i="5"/>
  <c r="R7" i="5"/>
  <c r="S7" i="5" s="1"/>
  <c r="R10" i="5"/>
  <c r="R14" i="5"/>
  <c r="S14" i="5" s="1"/>
  <c r="R13" i="5"/>
  <c r="S13" i="5" s="1"/>
  <c r="J17" i="5"/>
  <c r="L7" i="5"/>
  <c r="K5" i="5"/>
  <c r="K15" i="5"/>
  <c r="L15" i="5" s="1"/>
  <c r="BC7" i="6"/>
  <c r="BC9" i="6"/>
  <c r="J71" i="5"/>
  <c r="M61" i="5" s="1"/>
  <c r="N61" i="5" s="1"/>
  <c r="F9" i="20" s="1"/>
  <c r="K60" i="5"/>
  <c r="K69" i="5"/>
  <c r="L69" i="5" s="1"/>
  <c r="K67" i="5"/>
  <c r="L67" i="5" s="1"/>
  <c r="K59" i="5"/>
  <c r="K61" i="5"/>
  <c r="L61" i="5" s="1"/>
  <c r="K64" i="5"/>
  <c r="K68" i="5"/>
  <c r="L68" i="5" s="1"/>
  <c r="K65" i="5"/>
  <c r="K49" i="5"/>
  <c r="L49" i="5" s="1"/>
  <c r="K41" i="5"/>
  <c r="K42" i="5"/>
  <c r="K46" i="5"/>
  <c r="J53" i="5"/>
  <c r="K47" i="5"/>
  <c r="K50" i="5"/>
  <c r="L50" i="5" s="1"/>
  <c r="K51" i="5"/>
  <c r="L51" i="5" s="1"/>
  <c r="R50" i="5"/>
  <c r="S50" i="5" s="1"/>
  <c r="R49" i="5"/>
  <c r="S49" i="5" s="1"/>
  <c r="R47" i="5"/>
  <c r="Q53" i="5"/>
  <c r="R42" i="5"/>
  <c r="R41" i="5"/>
  <c r="R46" i="5"/>
  <c r="R51" i="5"/>
  <c r="S51" i="5" s="1"/>
  <c r="R43" i="5"/>
  <c r="S43" i="5" s="1"/>
  <c r="K11" i="5"/>
  <c r="K10" i="5"/>
  <c r="K6" i="5"/>
  <c r="K14" i="5"/>
  <c r="L14" i="5" s="1"/>
  <c r="K30" i="5"/>
  <c r="L30" i="5" s="1"/>
  <c r="R64" i="5"/>
  <c r="R66" i="5"/>
  <c r="S66" i="5" s="1"/>
  <c r="K29" i="5"/>
  <c r="K23" i="5"/>
  <c r="R61" i="5"/>
  <c r="S61" i="5" s="1"/>
  <c r="Q71" i="5"/>
  <c r="R65" i="5"/>
  <c r="R60" i="5"/>
  <c r="R59" i="5"/>
  <c r="R69" i="5"/>
  <c r="S69" i="5" s="1"/>
  <c r="R68" i="5"/>
  <c r="S68" i="5" s="1"/>
  <c r="F25" i="5"/>
  <c r="G25" i="5" s="1"/>
  <c r="F7" i="9" s="1"/>
  <c r="F23" i="5"/>
  <c r="D23" i="5"/>
  <c r="D28" i="5"/>
  <c r="D25" i="5"/>
  <c r="E25" i="5" s="1"/>
  <c r="D24" i="5"/>
  <c r="D33" i="5"/>
  <c r="E33" i="5" s="1"/>
  <c r="D30" i="5"/>
  <c r="E30" i="5" s="1"/>
  <c r="K32" i="5"/>
  <c r="L32" i="5" s="1"/>
  <c r="D31" i="5"/>
  <c r="E31" i="5" s="1"/>
  <c r="D29" i="5"/>
  <c r="D32" i="5"/>
  <c r="E32" i="5" s="1"/>
  <c r="R24" i="5"/>
  <c r="R31" i="5"/>
  <c r="S31" i="5" s="1"/>
  <c r="R23" i="5"/>
  <c r="R30" i="5"/>
  <c r="S30" i="5" s="1"/>
  <c r="R33" i="5"/>
  <c r="S33" i="5" s="1"/>
  <c r="R29" i="5"/>
  <c r="Q35" i="5"/>
  <c r="R28" i="5"/>
  <c r="K31" i="5"/>
  <c r="L31" i="5" s="1"/>
  <c r="M25" i="5"/>
  <c r="K28" i="5"/>
  <c r="K24" i="5"/>
  <c r="F29" i="5"/>
  <c r="F24" i="5"/>
  <c r="F28" i="5"/>
  <c r="D6" i="5"/>
  <c r="E5" i="5" s="1"/>
  <c r="D7" i="5"/>
  <c r="E7" i="5" s="1"/>
  <c r="C17" i="5"/>
  <c r="D15" i="5"/>
  <c r="E15" i="5" s="1"/>
  <c r="D14" i="5"/>
  <c r="E14" i="5" s="1"/>
  <c r="D12" i="5"/>
  <c r="E12" i="5" s="1"/>
  <c r="D13" i="5"/>
  <c r="E13" i="5" s="1"/>
  <c r="D11" i="5"/>
  <c r="D10" i="5"/>
  <c r="BB9" i="8" l="1"/>
  <c r="H14" i="21"/>
  <c r="BB7" i="8"/>
  <c r="S5" i="5"/>
  <c r="BB41" i="8"/>
  <c r="BB73" i="8"/>
  <c r="BB55" i="8"/>
  <c r="BB25" i="8"/>
  <c r="BB39" i="8"/>
  <c r="T6" i="5"/>
  <c r="T7" i="5"/>
  <c r="U7" i="5" s="1"/>
  <c r="F5" i="21" s="1"/>
  <c r="D14" i="9"/>
  <c r="F59" i="5"/>
  <c r="BA9" i="8"/>
  <c r="BA57" i="8"/>
  <c r="BA71" i="8"/>
  <c r="BA56" i="6"/>
  <c r="BA41" i="8"/>
  <c r="BA39" i="8"/>
  <c r="BA25" i="8"/>
  <c r="M42" i="5"/>
  <c r="M43" i="5"/>
  <c r="N43" i="5" s="1"/>
  <c r="F8" i="20" s="1"/>
  <c r="M10" i="5"/>
  <c r="M7" i="5"/>
  <c r="N7" i="5" s="1"/>
  <c r="F5" i="20" s="1"/>
  <c r="E46" i="5"/>
  <c r="F65" i="5"/>
  <c r="G64" i="5" s="1"/>
  <c r="H9" i="9" s="1"/>
  <c r="E41" i="5"/>
  <c r="H16" i="9"/>
  <c r="AZ57" i="8"/>
  <c r="S64" i="5"/>
  <c r="F42" i="5"/>
  <c r="E59" i="5"/>
  <c r="F41" i="5"/>
  <c r="AZ23" i="8"/>
  <c r="G23" i="5"/>
  <c r="D7" i="9" s="1"/>
  <c r="E23" i="5"/>
  <c r="T11" i="5"/>
  <c r="F43" i="5"/>
  <c r="G43" i="5" s="1"/>
  <c r="T10" i="5"/>
  <c r="F47" i="5"/>
  <c r="G46" i="5" s="1"/>
  <c r="F61" i="5"/>
  <c r="G61" i="5" s="1"/>
  <c r="F9" i="9" s="1"/>
  <c r="F60" i="5"/>
  <c r="F5" i="5"/>
  <c r="F6" i="5"/>
  <c r="AZ24" i="6"/>
  <c r="H13" i="9"/>
  <c r="D13" i="9"/>
  <c r="M11" i="5"/>
  <c r="M65" i="5"/>
  <c r="M5" i="5"/>
  <c r="M6" i="5"/>
  <c r="L5" i="5"/>
  <c r="S46" i="5"/>
  <c r="S10" i="5"/>
  <c r="G28" i="5"/>
  <c r="H7" i="9" s="1"/>
  <c r="L10" i="5"/>
  <c r="M60" i="5"/>
  <c r="L41" i="5"/>
  <c r="M46" i="5"/>
  <c r="M59" i="5"/>
  <c r="M64" i="5"/>
  <c r="L59" i="5"/>
  <c r="L64" i="5"/>
  <c r="L46" i="5"/>
  <c r="M41" i="5"/>
  <c r="M47" i="5"/>
  <c r="S59" i="5"/>
  <c r="S41" i="5"/>
  <c r="T47" i="5"/>
  <c r="T42" i="5"/>
  <c r="T46" i="5"/>
  <c r="T41" i="5"/>
  <c r="T43" i="5"/>
  <c r="U43" i="5" s="1"/>
  <c r="F8" i="21" s="1"/>
  <c r="L23" i="5"/>
  <c r="L28" i="5"/>
  <c r="E28" i="5"/>
  <c r="T60" i="5"/>
  <c r="T61" i="5"/>
  <c r="U61" i="5" s="1"/>
  <c r="F9" i="21" s="1"/>
  <c r="T64" i="5"/>
  <c r="T59" i="5"/>
  <c r="T65" i="5"/>
  <c r="S28" i="5"/>
  <c r="T29" i="5"/>
  <c r="T28" i="5"/>
  <c r="T23" i="5"/>
  <c r="T24" i="5"/>
  <c r="T25" i="5"/>
  <c r="U25" i="5" s="1"/>
  <c r="F7" i="21" s="1"/>
  <c r="S23" i="5"/>
  <c r="N25" i="5"/>
  <c r="F7" i="20" s="1"/>
  <c r="M24" i="5"/>
  <c r="M23" i="5"/>
  <c r="M28" i="5"/>
  <c r="M29" i="5"/>
  <c r="E10" i="5"/>
  <c r="F10" i="5"/>
  <c r="F11" i="5"/>
  <c r="F7" i="5"/>
  <c r="G7" i="5" s="1"/>
  <c r="N41" i="5" l="1"/>
  <c r="D8" i="20" s="1"/>
  <c r="G5" i="5"/>
  <c r="G59" i="5"/>
  <c r="D9" i="9" s="1"/>
  <c r="BB24" i="6"/>
  <c r="BB56" i="6"/>
  <c r="BB40" i="6"/>
  <c r="BB8" i="6"/>
  <c r="U5" i="5"/>
  <c r="D5" i="21" s="1"/>
  <c r="U10" i="5"/>
  <c r="H5" i="21" s="1"/>
  <c r="H8" i="9"/>
  <c r="AZ40" i="6"/>
  <c r="BA24" i="6"/>
  <c r="BA8" i="6"/>
  <c r="BA40" i="6"/>
  <c r="N10" i="5"/>
  <c r="H5" i="20" s="1"/>
  <c r="AZ23" i="6"/>
  <c r="F8" i="9"/>
  <c r="AZ41" i="6"/>
  <c r="G41" i="5"/>
  <c r="AZ57" i="6"/>
  <c r="AZ8" i="6"/>
  <c r="F5" i="9"/>
  <c r="AZ25" i="6"/>
  <c r="AZ56" i="6"/>
  <c r="N5" i="5"/>
  <c r="D5" i="20" s="1"/>
  <c r="N64" i="5"/>
  <c r="H9" i="20" s="1"/>
  <c r="N59" i="5"/>
  <c r="D9" i="20" s="1"/>
  <c r="N46" i="5"/>
  <c r="H8" i="20" s="1"/>
  <c r="U41" i="5"/>
  <c r="D8" i="21" s="1"/>
  <c r="U46" i="5"/>
  <c r="H8" i="21" s="1"/>
  <c r="U28" i="5"/>
  <c r="H7" i="21" s="1"/>
  <c r="U64" i="5"/>
  <c r="H9" i="21" s="1"/>
  <c r="N23" i="5"/>
  <c r="D7" i="20" s="1"/>
  <c r="U59" i="5"/>
  <c r="D9" i="21" s="1"/>
  <c r="N28" i="5"/>
  <c r="H7" i="20" s="1"/>
  <c r="U23" i="5"/>
  <c r="D7" i="21" s="1"/>
  <c r="G10" i="5"/>
  <c r="BB39" i="6" l="1"/>
  <c r="AZ55" i="6"/>
  <c r="BB23" i="6"/>
  <c r="BB57" i="6"/>
  <c r="BB25" i="6"/>
  <c r="BB9" i="6"/>
  <c r="BB55" i="6"/>
  <c r="BB41" i="6"/>
  <c r="BB7" i="6"/>
  <c r="D5" i="9"/>
  <c r="D8" i="9"/>
  <c r="BA23" i="6"/>
  <c r="BA55" i="6"/>
  <c r="BA9" i="6"/>
  <c r="BA41" i="6"/>
  <c r="BA39" i="6"/>
  <c r="BA25" i="6"/>
  <c r="BA57" i="6"/>
  <c r="BA7" i="6"/>
  <c r="AZ39" i="6"/>
  <c r="AZ9" i="6"/>
  <c r="H5" i="9"/>
  <c r="AZ7" i="6"/>
</calcChain>
</file>

<file path=xl/comments1.xml><?xml version="1.0" encoding="utf-8"?>
<comments xmlns="http://schemas.openxmlformats.org/spreadsheetml/2006/main">
  <authors>
    <author>Jennifer Norman</author>
    <author>James Abbott</author>
  </authors>
  <commentList>
    <comment ref="G2" authorId="0" shapeId="0">
      <text>
        <r>
          <rPr>
            <b/>
            <sz val="9"/>
            <color indexed="81"/>
            <rFont val="Tahoma"/>
            <family val="2"/>
          </rPr>
          <t>(NUMERICAL INDICATORS ONLY)</t>
        </r>
      </text>
    </comment>
    <comment ref="K2" authorId="0" shapeId="0">
      <text>
        <r>
          <rPr>
            <b/>
            <sz val="9"/>
            <color indexed="81"/>
            <rFont val="Tahoma"/>
            <family val="2"/>
          </rPr>
          <t>(NUMERICAL INDICATORS ONLY)</t>
        </r>
      </text>
    </comment>
    <comment ref="L2" authorId="0" shapeId="0">
      <text>
        <r>
          <rPr>
            <b/>
            <sz val="9"/>
            <color indexed="81"/>
            <rFont val="Tahoma"/>
            <family val="2"/>
          </rPr>
          <t>(NUMERICAL INDICATORS ONLY)</t>
        </r>
      </text>
    </comment>
    <comment ref="P2" authorId="0" shapeId="0">
      <text>
        <r>
          <rPr>
            <b/>
            <sz val="9"/>
            <color indexed="81"/>
            <rFont val="Tahoma"/>
            <family val="2"/>
          </rPr>
          <t>(NUMERICAL INDICATORS ONLY)</t>
        </r>
      </text>
    </comment>
    <comment ref="Q2" authorId="0" shapeId="0">
      <text>
        <r>
          <rPr>
            <b/>
            <sz val="9"/>
            <color indexed="81"/>
            <rFont val="Tahoma"/>
            <family val="2"/>
          </rPr>
          <t>(NUMERICAL INDICATORS ONLY)</t>
        </r>
      </text>
    </comment>
    <comment ref="T2" authorId="1" shapeId="0">
      <text>
        <r>
          <rPr>
            <b/>
            <sz val="9"/>
            <color indexed="81"/>
            <rFont val="Tahoma"/>
            <family val="2"/>
          </rPr>
          <t>James Abbott:</t>
        </r>
        <r>
          <rPr>
            <sz val="9"/>
            <color indexed="81"/>
            <rFont val="Tahoma"/>
            <family val="2"/>
          </rPr>
          <t xml:space="preserve">
Please provide a comprehensive update on the progress of each indicator</t>
        </r>
      </text>
    </comment>
    <comment ref="U2" authorId="1" shapeId="0">
      <text>
        <r>
          <rPr>
            <b/>
            <sz val="9"/>
            <color indexed="81"/>
            <rFont val="Tahoma"/>
            <family val="2"/>
          </rPr>
          <t>James Abbott:</t>
        </r>
        <r>
          <rPr>
            <sz val="9"/>
            <color indexed="81"/>
            <rFont val="Tahoma"/>
            <family val="2"/>
          </rPr>
          <t xml:space="preserve">
</t>
        </r>
        <r>
          <rPr>
            <b/>
            <sz val="9"/>
            <color indexed="81"/>
            <rFont val="Tahoma"/>
            <family val="2"/>
          </rPr>
          <t xml:space="preserve">NUMERICAL INDICATORS ONLY:
</t>
        </r>
        <r>
          <rPr>
            <sz val="9"/>
            <color indexed="81"/>
            <rFont val="Tahoma"/>
            <family val="2"/>
          </rPr>
          <t xml:space="preserve">Please provide a full year cumulative figure where applicable. </t>
        </r>
        <r>
          <rPr>
            <sz val="9"/>
            <color indexed="81"/>
            <rFont val="Tahoma"/>
            <family val="2"/>
          </rPr>
          <t xml:space="preserve">
</t>
        </r>
      </text>
    </comment>
    <comment ref="V2" authorId="1" shapeId="0">
      <text>
        <r>
          <rPr>
            <b/>
            <sz val="9"/>
            <color indexed="81"/>
            <rFont val="Tahoma"/>
            <family val="2"/>
          </rPr>
          <t>James Abbott:</t>
        </r>
        <r>
          <rPr>
            <sz val="9"/>
            <color indexed="81"/>
            <rFont val="Tahoma"/>
            <family val="2"/>
          </rPr>
          <t xml:space="preserve">
Please choose an option from the drop down list that best describes the current situation for this target</t>
        </r>
      </text>
    </comment>
    <comment ref="W2" authorId="1" shapeId="0">
      <text>
        <r>
          <rPr>
            <b/>
            <sz val="9"/>
            <color indexed="81"/>
            <rFont val="Tahoma"/>
            <family val="2"/>
          </rPr>
          <t>James Abbott:</t>
        </r>
        <r>
          <rPr>
            <sz val="9"/>
            <color indexed="81"/>
            <rFont val="Tahoma"/>
            <family val="2"/>
          </rPr>
          <t xml:space="preserve">
Where applicable you should use this column to provide additional relevant information, including mitigation action or future improvements where target is not "Fully Achieved".</t>
        </r>
      </text>
    </comment>
  </commentList>
</comments>
</file>

<file path=xl/comments2.xml><?xml version="1.0" encoding="utf-8"?>
<comments xmlns="http://schemas.openxmlformats.org/spreadsheetml/2006/main">
  <authors>
    <author>Jennifer Norman</author>
  </authors>
  <commentList>
    <comment ref="G1" authorId="0" shapeId="0">
      <text>
        <r>
          <rPr>
            <b/>
            <sz val="9"/>
            <color indexed="81"/>
            <rFont val="Tahoma"/>
            <family val="2"/>
          </rPr>
          <t>Please note that all charts shown below can be amended to be displayed in alternative styles. Please right click on the relevant chart, select "change chart type" and choose your preferred chart option.</t>
        </r>
      </text>
    </comment>
  </commentList>
</comments>
</file>

<file path=xl/comments3.xml><?xml version="1.0" encoding="utf-8"?>
<comments xmlns="http://schemas.openxmlformats.org/spreadsheetml/2006/main">
  <authors>
    <author>Jennifer Norman</author>
  </authors>
  <commentList>
    <comment ref="F1" authorId="0" shapeId="0">
      <text>
        <r>
          <rPr>
            <b/>
            <sz val="9"/>
            <color indexed="81"/>
            <rFont val="Tahoma"/>
            <family val="2"/>
          </rPr>
          <t>Please note that all charts shown below can be amended to be displayed in alternative styles. Please right click on the relevant chart, select "change chart type" and choose your preferred chart option.</t>
        </r>
        <r>
          <rPr>
            <sz val="9"/>
            <color indexed="81"/>
            <rFont val="Tahoma"/>
            <family val="2"/>
          </rPr>
          <t xml:space="preserve">
</t>
        </r>
      </text>
    </comment>
  </commentList>
</comments>
</file>

<file path=xl/sharedStrings.xml><?xml version="1.0" encoding="utf-8"?>
<sst xmlns="http://schemas.openxmlformats.org/spreadsheetml/2006/main" count="3763" uniqueCount="941">
  <si>
    <t>Measures</t>
  </si>
  <si>
    <t>Target 2019/20</t>
  </si>
  <si>
    <t>Increasing Staffing Availability Through Reduced Sickness</t>
  </si>
  <si>
    <t>Minimise The Number Of Missed Bin Collections</t>
  </si>
  <si>
    <t>Major Planning Applications Determined Within 13 Weeks</t>
  </si>
  <si>
    <t>Top Quartile as measured against relevant MHCLG figures</t>
  </si>
  <si>
    <t>Minor Planning Applications Determined Within 8 Weeks</t>
  </si>
  <si>
    <t>Other Planning Applications Determined in 8 Weeks</t>
  </si>
  <si>
    <t>Delivering Better Services to Support Homelessness</t>
  </si>
  <si>
    <t>Portfolio</t>
  </si>
  <si>
    <t>Service</t>
  </si>
  <si>
    <t>Qtr</t>
  </si>
  <si>
    <t>Q4</t>
  </si>
  <si>
    <t>Q1</t>
  </si>
  <si>
    <t>Q2</t>
  </si>
  <si>
    <t>Q3</t>
  </si>
  <si>
    <t>Team</t>
  </si>
  <si>
    <t>Reporting Officer</t>
  </si>
  <si>
    <t>Target Date</t>
  </si>
  <si>
    <t>Quarter 1 On Track? (R/A/G)</t>
  </si>
  <si>
    <t>Comments / Further action (Q1)
(IF APPLICABLE)</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</si>
  <si>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</si>
  <si>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</si>
  <si>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</si>
  <si>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</si>
  <si>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</si>
  <si>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</si>
  <si>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</si>
  <si>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</si>
  <si>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</si>
  <si>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</si>
  <si>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</si>
  <si>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</si>
  <si>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</si>
  <si>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</si>
  <si>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</si>
  <si>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Quarter 2
 On Track? (R/A/G)</t>
  </si>
  <si>
    <t>Comments / Further action (Q2)
(IF APPLICABLE)</t>
  </si>
  <si>
    <t>Quarter 3 
On Track? (R/A/G)</t>
  </si>
  <si>
    <t>Comments / Further action (Q3)
(IF APPLICABLE)</t>
  </si>
  <si>
    <t>Comments / Further action (Q4)
(IF APPLICABLE)</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</si>
  <si>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</si>
  <si>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</si>
  <si>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</si>
  <si>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</si>
  <si>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</si>
  <si>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</si>
  <si>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</si>
  <si>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</si>
  <si>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</si>
  <si>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</si>
  <si>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</si>
  <si>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</si>
  <si>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Charts by Corporate Priority</t>
  </si>
  <si>
    <t>OVERALL PERFORMANCE</t>
  </si>
  <si>
    <t>Green</t>
  </si>
  <si>
    <t>Amber</t>
  </si>
  <si>
    <t>Red</t>
  </si>
  <si>
    <t>Number of Indicators</t>
  </si>
  <si>
    <t>Percentage</t>
  </si>
  <si>
    <t>Overall Performance</t>
  </si>
  <si>
    <t>All due targets</t>
  </si>
  <si>
    <t>Corporate Priority</t>
  </si>
  <si>
    <t>Charts by Portfolio</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</si>
  <si>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</si>
  <si>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</si>
  <si>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</si>
  <si>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</si>
  <si>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</si>
  <si>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</si>
  <si>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</si>
  <si>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</si>
  <si>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</si>
  <si>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</si>
  <si>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</si>
  <si>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</si>
  <si>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</si>
  <si>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</si>
  <si>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</si>
  <si>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End of Year Achieved?
(R/A/G)</t>
  </si>
  <si>
    <t>Average time from appointment to initial decision for homeless applicants of 3 days</t>
  </si>
  <si>
    <t>Report on the performance of the Leisure Operator on a quarterly basis</t>
  </si>
  <si>
    <t>Developing Tourism within the Borough</t>
  </si>
  <si>
    <t>Improve the Washlands as a regional attraction</t>
  </si>
  <si>
    <t>Support economic growth in East Staffordshire</t>
  </si>
  <si>
    <t xml:space="preserve">Maintain Performance On Recycling </t>
  </si>
  <si>
    <t>Maintain ‘Key to Key’ Void Turnaround to an average of 6 working days</t>
  </si>
  <si>
    <t>Developing Healthy Lifestyles</t>
  </si>
  <si>
    <t>Top Quartile as measured against relevant DLUHC figures</t>
  </si>
  <si>
    <t>Keeping Members informed on Planning Matters</t>
  </si>
  <si>
    <t>SMARTER Planning Services</t>
  </si>
  <si>
    <t>Climate Change Initiatives</t>
  </si>
  <si>
    <t>Brewhouse and Town Hall Service</t>
  </si>
  <si>
    <t>Maintain Performance For Street Cleansing</t>
  </si>
  <si>
    <t>Produce an update report and next steps for revised Housing Register and Allocations Service Contract</t>
  </si>
  <si>
    <t>Performance report identifying the reduction in empty homes</t>
  </si>
  <si>
    <t>Monitor Performance of the Local Plan</t>
  </si>
  <si>
    <t>Improve On The Average Time To Pay Creditors</t>
  </si>
  <si>
    <t>Refresh Member Training</t>
  </si>
  <si>
    <t xml:space="preserve">Time Taken to Process Benefit New Claims and Change Events (Previously NI 181)
Average time: 4.5 days  </t>
  </si>
  <si>
    <t>Quarterly</t>
  </si>
  <si>
    <t>Michael Hovers</t>
  </si>
  <si>
    <t>James Abbott</t>
  </si>
  <si>
    <t>Naomi Perry</t>
  </si>
  <si>
    <t>Margaret Woolley</t>
  </si>
  <si>
    <t>Rachel Liddle</t>
  </si>
  <si>
    <t>Paul Farrer</t>
  </si>
  <si>
    <t>Brett Atkinson</t>
  </si>
  <si>
    <t>Reference Number</t>
  </si>
  <si>
    <t>Tourism and Cultural Development</t>
  </si>
  <si>
    <t>Environment and Climate Change</t>
  </si>
  <si>
    <t>End of year forecast as at end of Q1</t>
  </si>
  <si>
    <t>End of year forecast as at end of Q2</t>
  </si>
  <si>
    <t>End of year forecast as at end of Q3</t>
  </si>
  <si>
    <t xml:space="preserve">Cumulative Annual Outturn </t>
  </si>
  <si>
    <t>CP Order</t>
  </si>
  <si>
    <t>2023-24 Corporate Plan Reporting Spreadsheet</t>
  </si>
  <si>
    <t>QUARTER 1: April - June 2023</t>
  </si>
  <si>
    <t>Target 2023-24</t>
  </si>
  <si>
    <t xml:space="preserve">Submit planning application for a Washlands Visitor Centre </t>
  </si>
  <si>
    <t xml:space="preserve">Finalise designs for the Garden of Remembrance enhancements </t>
  </si>
  <si>
    <t xml:space="preserve">Commence the construction of the Washlands Visitor Centre (subject to planning) </t>
  </si>
  <si>
    <t>Deliver the Burton upon Trent High Street Regeneration Project</t>
  </si>
  <si>
    <t xml:space="preserve">Continue to work in partnership with the Heritage Working Group and other stakeholders to develop the museum and heritage centre proposals for the High Street </t>
  </si>
  <si>
    <t xml:space="preserve">Work with partners to support the delivery of the three partner Towns Fund projects </t>
  </si>
  <si>
    <t>Take forward regeneration in Uttoxeter</t>
  </si>
  <si>
    <t>Continue to work in preparation of accessing external funding opportunities, when available, including the third round of the Levelling Up Fund</t>
  </si>
  <si>
    <t>Open Spaces initiatives</t>
  </si>
  <si>
    <t>Provide a third year update on the Parks Development Plan, with a view to reviewing wildflower planting</t>
  </si>
  <si>
    <t>Increase the number of volunteering opportunities from 3 to 6 per week at both the Horticulture Centre and/or Go Garden</t>
  </si>
  <si>
    <t>Work in partnership with external organisations to develop 4 Carbon Capture and Biodiversity areas across the Borough</t>
  </si>
  <si>
    <t>Relaunch the Councillors Community Fund</t>
  </si>
  <si>
    <t>Commence a Community Lottery providing funding opportunities for the local community and voluntary sector</t>
  </si>
  <si>
    <t>Housing Strategy Initiatives: 
Update on Improvements to the Housing Register</t>
  </si>
  <si>
    <t>Annual</t>
  </si>
  <si>
    <t xml:space="preserve">Supporting Sport and Leisure Delivery </t>
  </si>
  <si>
    <t>Supporting Sport and Leisure Delivery</t>
  </si>
  <si>
    <t>Updated Playing Pitch Strategy and review of indoor facilities completed</t>
  </si>
  <si>
    <t>Support the Better Health programme into the delivery phase and represent East Staffordshire through quarterly meetings</t>
  </si>
  <si>
    <t>Launch a grant scheme to support local Tourism businesses to develop projects and activity</t>
  </si>
  <si>
    <t xml:space="preserve">Develop a Tourism framework and Strategic Plan </t>
  </si>
  <si>
    <t>Deliver and baseline footfall for a range of tourism events throughout the year</t>
  </si>
  <si>
    <t>Complete review of way marking around Burton town centre</t>
  </si>
  <si>
    <t>Market Hall Development</t>
  </si>
  <si>
    <t>Number Of Missed Bin Collections: Achieve 99.97% successful bin collections across the Borough</t>
  </si>
  <si>
    <t>Improve Performance On Waste Reduction</t>
  </si>
  <si>
    <t>Residual Household Waste Per Household: Upper Quartile</t>
  </si>
  <si>
    <t>Household Waste Recycled and Composted: Upper Quartile</t>
  </si>
  <si>
    <t xml:space="preserve">Consider implementation of Food Waste strategy </t>
  </si>
  <si>
    <t>Deliver Borough wide entries for the ‘It’s Your Neighbourhood Park’ awards and maintain the results at 12 Gold Awards and 10 Silver Gilts</t>
  </si>
  <si>
    <t>Support an additional entry to the ‘It’s Your Neighbourhood Park awards scheme during 2023/24</t>
  </si>
  <si>
    <t>Deliver the In Bloom awards and sustain the number of Gold awards at a minimum of 3, across all categories</t>
  </si>
  <si>
    <t>Deliver a third year review of the Council’s Climate Change and Biodiversity Action Plan including delivery against the plan</t>
  </si>
  <si>
    <t>Investigate and identify the best locations for delivering EV off street charging points. Minimum of 4 to be identified</t>
  </si>
  <si>
    <t>Procure energy audits on key council buildings to maximise performance and identify energy efficiency and generation option to form a heat decarbonisation plan</t>
  </si>
  <si>
    <t>Ongoing by March 2024</t>
  </si>
  <si>
    <t>Improving Air Quality</t>
  </si>
  <si>
    <t>Review and update the air quality strategy and action plan</t>
  </si>
  <si>
    <t>Undertake a review of the Public Events Safety Advisory Group procedures and update as required</t>
  </si>
  <si>
    <t>Approve Refreshed Homelessness Strategy</t>
  </si>
  <si>
    <t>Licensing and Enforcement Activities-CCTV</t>
  </si>
  <si>
    <t>Complete roll out/ installation of fixed CCTV cameras</t>
  </si>
  <si>
    <t>Disabled Facilities Grants</t>
  </si>
  <si>
    <t>Work with our Leisure Operator to deliver an enhanced play day experience during summer 2023, providing free access for our local communities.</t>
  </si>
  <si>
    <t>Deliver 6 outdoor events, including activity such as street theatre and performances in our parks</t>
  </si>
  <si>
    <t>Further Enhancing Corporate Communications</t>
  </si>
  <si>
    <t>Introduce a regular Business online newsletter, delivering a minimum of 6 newsletters</t>
  </si>
  <si>
    <t>Improve awareness of Council Services, venues and initiatives</t>
  </si>
  <si>
    <t>Getting ready for the future</t>
  </si>
  <si>
    <t>Go live with the data-modelling of the waste management round configuration</t>
  </si>
  <si>
    <t xml:space="preserve">Report to Cabinet on the new round configuration and procurement requirements of the new waste management vehicles </t>
  </si>
  <si>
    <t>Prepare a Depot Strategy to identify options to future proof the service</t>
  </si>
  <si>
    <t>Carry out Green Vehicle Trial on collection rounds</t>
  </si>
  <si>
    <t>Options review on the approach for the Council’s fleet of small mechanical street cleaning vehicles</t>
  </si>
  <si>
    <t>Provide a 6 monthly update report on the performance of the grounds maintenance contractor</t>
  </si>
  <si>
    <t>Undertake an assessment of the Borough’s tree stock to determine the future impact of environmental factors such as Climate Change and ‘Ash die’ back</t>
  </si>
  <si>
    <t>Delivering Better Services to Support the Cost of Living Crisis</t>
  </si>
  <si>
    <t>Conduct a review of Local Council Tax Reduction Scheme</t>
  </si>
  <si>
    <t xml:space="preserve">Continue to Maximise Income Through Effective Collection Processes </t>
  </si>
  <si>
    <t>Working Towards the Reduction of Claimant Error Housing Benefit Overpayments (HBOPs)</t>
  </si>
  <si>
    <t xml:space="preserve">Maintain Robust Mechanisms for Contract Managing the Leisure Service Arrangements </t>
  </si>
  <si>
    <t>Undertake a review of the grant funding process that currently takes place through the East Staffordshire Sports Council</t>
  </si>
  <si>
    <t>Review of Car Parking Services</t>
  </si>
  <si>
    <t>Undertake a wide ranging review of the current car parking arrangements, including but not limited to; the Parking App, the charging regime and enforcement</t>
  </si>
  <si>
    <t>Complete the refurbishment of the Brewhouse roof</t>
  </si>
  <si>
    <t>Improve purchase order transactions so that the next time Internal Audit review practice in Q4 2023/24, 80% of POs are in place from the Internal Audit sample</t>
  </si>
  <si>
    <t>Review Planning feedback survey data</t>
  </si>
  <si>
    <t>Consider reintroduction of planning pre application advice</t>
  </si>
  <si>
    <t>Enhancing Procurement and Contract Management Processes</t>
  </si>
  <si>
    <t>Further Digital Enhancements</t>
  </si>
  <si>
    <t>Elected Member Intranet Implemented</t>
  </si>
  <si>
    <t xml:space="preserve">Successfully deliver local elections  </t>
  </si>
  <si>
    <t>Borough and Parish Council elections successfully delivered</t>
  </si>
  <si>
    <t xml:space="preserve">Review Member Induction Programme </t>
  </si>
  <si>
    <t xml:space="preserve"> October 2023</t>
  </si>
  <si>
    <t>Improving Financial Stewardship</t>
  </si>
  <si>
    <t>Approve the revised Treasury Management Strategy</t>
  </si>
  <si>
    <t>Approve the revised Medium Term Financial Strategy</t>
  </si>
  <si>
    <t xml:space="preserve">Deliver 4 Elected Member Finance briefings </t>
  </si>
  <si>
    <t>Improve service delivery timescales from ‘enquiry to completion’ by 10% on 22/23 performance</t>
  </si>
  <si>
    <t>Kelly Kerr-Delworth</t>
  </si>
  <si>
    <t>Regeneration and Development</t>
  </si>
  <si>
    <t>Communities and Regulatory Services</t>
  </si>
  <si>
    <t>Encourage businesses to adopt a low waste approach for food and packaging through the delivery of an education programme</t>
  </si>
  <si>
    <t>Finance and Treasury Management</t>
  </si>
  <si>
    <t>Objective</t>
  </si>
  <si>
    <t>ID01</t>
  </si>
  <si>
    <t>Improve local democracy and consultation</t>
  </si>
  <si>
    <t>Hold regular engagement events with businesses throughout the year</t>
  </si>
  <si>
    <t>ID02</t>
  </si>
  <si>
    <t>Hold Question &amp; Answer sessions with Cabinet Members using online and in-person community forums on ad hoc basis</t>
  </si>
  <si>
    <t>ID03</t>
  </si>
  <si>
    <t>Livestream Council meetings</t>
  </si>
  <si>
    <t>ID04</t>
  </si>
  <si>
    <t>Revoke Council Constitution changes from December 2022 and introduce public participation at scrutiny committees</t>
  </si>
  <si>
    <t>ID05</t>
  </si>
  <si>
    <r>
      <rPr>
        <b/>
        <sz val="11"/>
        <rFont val="Arial"/>
        <family val="2"/>
      </rPr>
      <t>Carry out a review of the Communications, Engagement and Consultation Strategy to improve e</t>
    </r>
    <r>
      <rPr>
        <b/>
        <sz val="11"/>
        <color rgb="FF000000"/>
        <rFont val="Arial"/>
        <family val="2"/>
      </rPr>
      <t>xisting council communications work</t>
    </r>
  </si>
  <si>
    <t>ID06</t>
  </si>
  <si>
    <t>PB01</t>
  </si>
  <si>
    <t>Tackling the cost of living crisis</t>
  </si>
  <si>
    <t>With partners, support and advise local residents by commissioning a new local debt advice service</t>
  </si>
  <si>
    <t>From October</t>
  </si>
  <si>
    <t>PB02</t>
  </si>
  <si>
    <t>Retain and enhance warm spaces and warm banks to provide continued support for residents who need help with energy bills</t>
  </si>
  <si>
    <t>PB03</t>
  </si>
  <si>
    <t>Support the work of local groups around the borough by supplying relevant supplies to food banks when stock runs low</t>
  </si>
  <si>
    <t>All year to March 2024</t>
  </si>
  <si>
    <t>PB04</t>
  </si>
  <si>
    <t>Housing and Planning – improve homelessness prevention</t>
  </si>
  <si>
    <t>Review and consider improvements for night shelter facilities</t>
  </si>
  <si>
    <t>PB05</t>
  </si>
  <si>
    <t>Building a Fairer and Greener Local Economy by creating municipal enterprise</t>
  </si>
  <si>
    <t>Produce options for a community wealth-building model to create a municipally (council and public) owned energy firm, suitable for a district authority</t>
  </si>
  <si>
    <r>
      <t xml:space="preserve">Building a Fairer </t>
    </r>
    <r>
      <rPr>
        <b/>
        <sz val="11"/>
        <color rgb="FF000000"/>
        <rFont val="Arial"/>
        <family val="2"/>
      </rPr>
      <t>Local Economy</t>
    </r>
  </si>
  <si>
    <t>PB07</t>
  </si>
  <si>
    <t>Housing and Planning</t>
  </si>
  <si>
    <t>Review and consider improvements for making Section 106 funding process more open and transparent, via the ESBC website and Member Intranet; and consider policy changes to ESBC's s106 approach</t>
  </si>
  <si>
    <t>PB08</t>
  </si>
  <si>
    <t>Standing up for communities</t>
  </si>
  <si>
    <t>Reshape the UK shared prosperity funding to focus more strongly on community needs</t>
  </si>
  <si>
    <t>PB09</t>
  </si>
  <si>
    <t>Approve the detail of UKSPF funding programmes</t>
  </si>
  <si>
    <t>PB10</t>
  </si>
  <si>
    <r>
      <t>Building a Fairer</t>
    </r>
    <r>
      <rPr>
        <b/>
        <sz val="11"/>
        <color rgb="FF000000"/>
        <rFont val="Arial"/>
        <family val="2"/>
      </rPr>
      <t xml:space="preserve"> Local Economy</t>
    </r>
  </si>
  <si>
    <t>Work with partners to create a fair employment charter</t>
  </si>
  <si>
    <t>GD01</t>
  </si>
  <si>
    <t>Identify 150 properties with an EPC of D or below where the occupant is on Council tax reduction to offer a range of energy efficiency measures, including insulation, to reduce fuel poverty</t>
  </si>
  <si>
    <t>GD02</t>
  </si>
  <si>
    <t>Tackling Envirocrime</t>
  </si>
  <si>
    <t>Increase levels of action taken against anti-social behaviour by reviewing the performance of mobile CCTV provision and seeking to achieve a 20% increase in the number of deployments (from 22)</t>
  </si>
  <si>
    <t>Review of progress  December 2023</t>
  </si>
  <si>
    <t>GD03</t>
  </si>
  <si>
    <t>Increase levels of action taken against anti-social behaviour through undertaking 4 initiatives to address fly tipping under the 'Tackle the Tippers' campaign</t>
  </si>
  <si>
    <t>GD04</t>
  </si>
  <si>
    <t>A Green New Deal for East Staffordshire</t>
  </si>
  <si>
    <t>Promote new green technologies in the borough</t>
  </si>
  <si>
    <t>GD05</t>
  </si>
  <si>
    <t xml:space="preserve">Promote increased use of public transport  </t>
  </si>
  <si>
    <t>GD06</t>
  </si>
  <si>
    <t>Work with local cycle firms to provide affordable bike rental for visitors and residents</t>
  </si>
  <si>
    <t>GD07</t>
  </si>
  <si>
    <t>Work with partners to introduce the Passivhaus housing development standard (which will keep heat loss in new homes to a minimum)</t>
  </si>
  <si>
    <t>GD08</t>
  </si>
  <si>
    <t>GD09</t>
  </si>
  <si>
    <t>Find opportunities and create a network of community orchards and wildlife corridors</t>
  </si>
  <si>
    <t>GD10</t>
  </si>
  <si>
    <t>Introduce mobile fly-tipping removal vehicle</t>
  </si>
  <si>
    <t>GD11</t>
  </si>
  <si>
    <t>PH01</t>
  </si>
  <si>
    <t>Protecting our Heritage</t>
  </si>
  <si>
    <t>Consider creating a model of co-operative ownership of Burton Market Hall, with six monthly reporting</t>
  </si>
  <si>
    <t>PH02</t>
  </si>
  <si>
    <t>With the National Brewery Trust, create a timeline and plan to ensure historical archives from the closed NBC are re-housed in the future development</t>
  </si>
  <si>
    <t>PH03</t>
  </si>
  <si>
    <t>With the National Brewery Trust, contact owners of all former NBC artefacts to discuss their return to the future development</t>
  </si>
  <si>
    <t>PH04</t>
  </si>
  <si>
    <t>With the Towns Fund Board, review and adapt High Street linkages project as appropriate</t>
  </si>
  <si>
    <t>PH05</t>
  </si>
  <si>
    <t>Upgrade the Market Hall working group to a scrutiny committee</t>
  </si>
  <si>
    <t>May Full Council meeting 2023</t>
  </si>
  <si>
    <t>SC01</t>
  </si>
  <si>
    <t>Ensuring the right to food</t>
  </si>
  <si>
    <t>September Council meeting</t>
  </si>
  <si>
    <t>SC02</t>
  </si>
  <si>
    <t>Introduce community kitchens in existing council facilities</t>
  </si>
  <si>
    <t>SC03</t>
  </si>
  <si>
    <t>Adopt and publicise the Right to Food motion at Full Council meeting</t>
  </si>
  <si>
    <t>SC04</t>
  </si>
  <si>
    <t>Backing our Taxi Drivers</t>
  </si>
  <si>
    <t>Review Licensing policy with the trade and ensure drivers are supported in the transition to Euro 6 emission standards</t>
  </si>
  <si>
    <t>SC05</t>
  </si>
  <si>
    <t>Standing up for our NHS</t>
  </si>
  <si>
    <t>Create a sole focus for health scrutiny in a single scrutiny committee</t>
  </si>
  <si>
    <t>CRS01</t>
  </si>
  <si>
    <t>CRS02</t>
  </si>
  <si>
    <t>CRS03</t>
  </si>
  <si>
    <t>Supporting local communities</t>
  </si>
  <si>
    <t>CRS04</t>
  </si>
  <si>
    <t>Deliver a community grant scheme to help enhance local areas</t>
  </si>
  <si>
    <t>CRS05</t>
  </si>
  <si>
    <t>CRS06</t>
  </si>
  <si>
    <t>CRS07</t>
  </si>
  <si>
    <t>CRS08</t>
  </si>
  <si>
    <t>CRS09</t>
  </si>
  <si>
    <t>CRS10</t>
  </si>
  <si>
    <t>CRS11</t>
  </si>
  <si>
    <t>CRS12</t>
  </si>
  <si>
    <t>ECC01</t>
  </si>
  <si>
    <t>ECC02</t>
  </si>
  <si>
    <t>ECC03</t>
  </si>
  <si>
    <t>ECC04</t>
  </si>
  <si>
    <t>ECC05</t>
  </si>
  <si>
    <t>ECC06</t>
  </si>
  <si>
    <t>ECC07</t>
  </si>
  <si>
    <t>ECC08</t>
  </si>
  <si>
    <t>ECC09</t>
  </si>
  <si>
    <t>ECC10</t>
  </si>
  <si>
    <t>ECC11</t>
  </si>
  <si>
    <t>ECC12</t>
  </si>
  <si>
    <t>July 2023 / March 2024</t>
  </si>
  <si>
    <t>ECC14</t>
  </si>
  <si>
    <t>ECC15</t>
  </si>
  <si>
    <t>ECC16</t>
  </si>
  <si>
    <t>ECC17</t>
  </si>
  <si>
    <t>ECC18</t>
  </si>
  <si>
    <t>ECC19</t>
  </si>
  <si>
    <t>ECC20</t>
  </si>
  <si>
    <t>ECC21</t>
  </si>
  <si>
    <t>ECC22</t>
  </si>
  <si>
    <t>ECC23</t>
  </si>
  <si>
    <t>TCD01</t>
  </si>
  <si>
    <t>TCD02</t>
  </si>
  <si>
    <t>TCD03</t>
  </si>
  <si>
    <t>TCD04</t>
  </si>
  <si>
    <t>TCD05</t>
  </si>
  <si>
    <t>TCD06</t>
  </si>
  <si>
    <t>TCD07</t>
  </si>
  <si>
    <t>TCD08</t>
  </si>
  <si>
    <t>TCD10</t>
  </si>
  <si>
    <t>Review outdoor sports provision in Uttoxeter, including the proposed Sports Hub and other potential outdoor sports sites</t>
  </si>
  <si>
    <t>TCD11</t>
  </si>
  <si>
    <t>TCD12</t>
  </si>
  <si>
    <t>TCD13</t>
  </si>
  <si>
    <t>TCD14</t>
  </si>
  <si>
    <t>TCD15</t>
  </si>
  <si>
    <t>RAD01</t>
  </si>
  <si>
    <t>RAD02</t>
  </si>
  <si>
    <t>RAD03</t>
  </si>
  <si>
    <t>RAD04</t>
  </si>
  <si>
    <t>Appoint contractors to deliver Washlands Enhancement Project</t>
  </si>
  <si>
    <t>RAD05</t>
  </si>
  <si>
    <t>RAD06</t>
  </si>
  <si>
    <t>RAD07</t>
  </si>
  <si>
    <t>RAD08</t>
  </si>
  <si>
    <t>Consider findings of Maltings regeneration project consultation</t>
  </si>
  <si>
    <t>RAD09</t>
  </si>
  <si>
    <t>Agree purchase of Uttoxeter former Co-op building</t>
  </si>
  <si>
    <t>RAD10</t>
  </si>
  <si>
    <t>Consider the best approach to acquiring the remainder of the Maltings precinct and review proposals to regenerate the Maltings area</t>
  </si>
  <si>
    <t>RAD11</t>
  </si>
  <si>
    <t>Launch and administer a business grant programme</t>
  </si>
  <si>
    <t>RAD12</t>
  </si>
  <si>
    <t>RAD13</t>
  </si>
  <si>
    <t>RAD14</t>
  </si>
  <si>
    <t>RAD15</t>
  </si>
  <si>
    <t>RAD16</t>
  </si>
  <si>
    <t>RAD17</t>
  </si>
  <si>
    <t>RAD19</t>
  </si>
  <si>
    <t>Complete the annual review of the Local Plan</t>
  </si>
  <si>
    <t>FTM01</t>
  </si>
  <si>
    <t>FTM02</t>
  </si>
  <si>
    <t>FTM06</t>
  </si>
  <si>
    <t>FTM07</t>
  </si>
  <si>
    <t>FTM08</t>
  </si>
  <si>
    <t>LDR01</t>
  </si>
  <si>
    <t>LDR02</t>
  </si>
  <si>
    <t>Create a Procurement Improvement Action Plan, based on Whole Council Spend Analysis</t>
  </si>
  <si>
    <t>LDR03</t>
  </si>
  <si>
    <t>LDR04</t>
  </si>
  <si>
    <t>LDR05</t>
  </si>
  <si>
    <t>LDR06</t>
  </si>
  <si>
    <t>LDR07</t>
  </si>
  <si>
    <t>Enterprise</t>
  </si>
  <si>
    <t>Corporate &amp; Commercial</t>
  </si>
  <si>
    <t>Housing Options</t>
  </si>
  <si>
    <t>Housing</t>
  </si>
  <si>
    <t>Environmental Health</t>
  </si>
  <si>
    <t>Finance,
Corporate &amp; Commercial, 
&amp; HR</t>
  </si>
  <si>
    <t>Planning</t>
  </si>
  <si>
    <t>CEO Andy O'Brien</t>
  </si>
  <si>
    <t>HR</t>
  </si>
  <si>
    <t>Enforcement</t>
  </si>
  <si>
    <t>Planning Policy</t>
  </si>
  <si>
    <t>Environment</t>
  </si>
  <si>
    <t>All</t>
  </si>
  <si>
    <t>Enterprise, Assets, Finance &amp; Communities &amp; Open Spaces</t>
  </si>
  <si>
    <t>Licensing</t>
  </si>
  <si>
    <t>Licensing &amp; Enforcement</t>
  </si>
  <si>
    <t>Communities &amp; Open Spaces</t>
  </si>
  <si>
    <t>Brewhouse, Arts &amp; Town Hall</t>
  </si>
  <si>
    <t>Corporate &amp; Commercial &amp; Marketing</t>
  </si>
  <si>
    <t>Revenues &amp; Benefits</t>
  </si>
  <si>
    <t>Finance</t>
  </si>
  <si>
    <t>Improving local democracy</t>
  </si>
  <si>
    <t>Creating a prosperous East Staffordshire</t>
  </si>
  <si>
    <t>Developing a Green New Deal for East Staffordshire</t>
  </si>
  <si>
    <t>Protecting our heritage</t>
  </si>
  <si>
    <t>Standing up for our communities</t>
  </si>
  <si>
    <t>Find opportunities to use vertical and rooftop spaces to plant new gardens</t>
  </si>
  <si>
    <t>Sara Gummerson</t>
  </si>
  <si>
    <t>Quarter One (2023/24)</t>
  </si>
  <si>
    <t>Improving Local Democracy</t>
  </si>
  <si>
    <t>Other</t>
  </si>
  <si>
    <t xml:space="preserve">Communities and Regulatory Services </t>
  </si>
  <si>
    <t>Leader</t>
  </si>
  <si>
    <t>Cabinet Member Portfolio</t>
  </si>
  <si>
    <t>Scrutiny Committee</t>
  </si>
  <si>
    <t>QUARTER TWO (July - Sept 2023)</t>
  </si>
  <si>
    <t>QUARTER THREE (Oct - Dec 2023)</t>
  </si>
  <si>
    <t>QUARTER FOUR (Jan - Mar 2024)</t>
  </si>
  <si>
    <t>Quarter Two (2023/24)</t>
  </si>
  <si>
    <t>Quarter Three (2023/24)</t>
  </si>
  <si>
    <t>Quarter Four (2023/24)</t>
  </si>
  <si>
    <t xml:space="preserve">Developing a Green New Deal </t>
  </si>
  <si>
    <t>QUARTER ONE (April - June 2023) - performance by priority</t>
  </si>
  <si>
    <t>QUARTER ONE (April - June 2023) - performance by Cabinet Member portfolio</t>
  </si>
  <si>
    <t>FTM05a</t>
  </si>
  <si>
    <t>FTM05b</t>
  </si>
  <si>
    <t xml:space="preserve">Collection Rates of - 
    Council Tax : 98% </t>
  </si>
  <si>
    <t xml:space="preserve">Continue to Maximise Income Through Effective Collection Processes 
(Previously BV 9) </t>
  </si>
  <si>
    <t xml:space="preserve">Continue to Maximise Income Through Effective Collection Processes 
(Previously BV 10) </t>
  </si>
  <si>
    <t>Collection Rates of - 
    NNDR : 99%</t>
  </si>
  <si>
    <t>FTM04a</t>
  </si>
  <si>
    <t>FTM04b</t>
  </si>
  <si>
    <t>FTM04c</t>
  </si>
  <si>
    <t xml:space="preserve">% HBOPs recovered During the Year: 90% </t>
  </si>
  <si>
    <t xml:space="preserve"> 
% of HBOPS Processed and on Payment Arrangement: 90% </t>
  </si>
  <si>
    <t xml:space="preserve">
In Year HBOPs Recovered During the Year: 50%</t>
  </si>
  <si>
    <t>FTM03a</t>
  </si>
  <si>
    <t>FTM03b</t>
  </si>
  <si>
    <t>FTM03c</t>
  </si>
  <si>
    <t>Former Years Arrears for: 
Council Tax: 2,500,000</t>
  </si>
  <si>
    <t>Former Years Arrears for: 
NNDR: 1,500,000</t>
  </si>
  <si>
    <t>Former Years Arrears for: 
Sundry Debts: £80,000</t>
  </si>
  <si>
    <t>RAD18a</t>
  </si>
  <si>
    <t>9 x Planning Committee Member training sessions</t>
  </si>
  <si>
    <t>2 x All Member briefing sessions</t>
  </si>
  <si>
    <t>RAD18b</t>
  </si>
  <si>
    <t>ECC13a</t>
  </si>
  <si>
    <t>ECC13b</t>
  </si>
  <si>
    <t>ECC13c</t>
  </si>
  <si>
    <t>ECC13d</t>
  </si>
  <si>
    <t>Litter, 0% (using NI195 survey methodology)</t>
  </si>
  <si>
    <t>Detritus, 0% (using NI195 survey 
methodology)</t>
  </si>
  <si>
    <t>Graffiti, 0% (using NI195 survey 
methodology)</t>
  </si>
  <si>
    <t>Fly-posting, 0% (using NI195 survey 
methodology)</t>
  </si>
  <si>
    <t>PB06a</t>
  </si>
  <si>
    <t>PB06b</t>
  </si>
  <si>
    <t>Incentivise existing providers to recruit new staff/apprentices</t>
  </si>
  <si>
    <t>Produce a route map to insourcing council services that are currently outsourced</t>
  </si>
  <si>
    <t>Introduce a Citizens Assembly</t>
  </si>
  <si>
    <t>TCD09a</t>
  </si>
  <si>
    <t>TCD09b</t>
  </si>
  <si>
    <t>Continue to redevelop Council’s corporate website</t>
  </si>
  <si>
    <t>Develop a new, revised website for the Brewhouse, Arts and Civic Function Suite</t>
  </si>
  <si>
    <t>Launch the temporary National Archive 
Centre and Regeneration Update Hub 
following completion of works and relocation of the collection</t>
  </si>
  <si>
    <t>Short Term Sickness Days Average 3.5 days per FTE</t>
  </si>
  <si>
    <t>Value for Money</t>
  </si>
  <si>
    <t>Climate change and environment</t>
  </si>
  <si>
    <t>Initial discussions with Cabinet Member in relation to timescales</t>
  </si>
  <si>
    <t>Corporate &amp; Commercial, 
&amp; HR</t>
  </si>
  <si>
    <t>Work has been undertaken with the Staffordshire DMP as well as engaging local tourism attractions as part of the consultation process to develop the strategic plan</t>
  </si>
  <si>
    <t>Not due until Q2 as surveys run April - July</t>
  </si>
  <si>
    <t>To be reviewed in December.  No target to measure against.</t>
  </si>
  <si>
    <t>Work expected to be commenced July 2023</t>
  </si>
  <si>
    <t xml:space="preserve">To be considered as part of the Communication Strategy work. </t>
  </si>
  <si>
    <t>Constitution updated at the full Council meeting in May 2023 for the new Scrutiny (Regeneration, Development and Market Hall) Committee</t>
  </si>
  <si>
    <t>Constitution updated at the full Council meeting in May 2023 for the new Scrutiny (Health and Wellbeing) Committee.</t>
  </si>
  <si>
    <t xml:space="preserve">Initial work on preparing a brief commenced in June 2023. </t>
  </si>
  <si>
    <t xml:space="preserve">Consultants have been engaged and work underway on indoor and outdoor sports facility provision. </t>
  </si>
  <si>
    <t>Quarterly Performance Report presented to Corporate Management Team, Leader and Deputy Leaders, LAG / LOAG, Cabinet during May / June 2023 and scheduled for discussion at the July VFM Scrutiny Committee</t>
  </si>
  <si>
    <t xml:space="preserve">The Better Health Staffordshire East Staffordshire group continue to met on a quarterly basis. The priority theme of Food is being worked on by a specific task and finish group in order to hold a themed event relating to Food. </t>
  </si>
  <si>
    <t xml:space="preserve">Review commenced in quarter one, with a report and recommendations expected to come forward in August / September 2023. </t>
  </si>
  <si>
    <t>Intranet was implemented in April 2023 in line with the target, with the new cohort of Members utilising this following the 2023 Borough elections.</t>
  </si>
  <si>
    <t>Initial analysis underway</t>
  </si>
  <si>
    <t>Quarter 1 
(April - June 2023)</t>
  </si>
  <si>
    <t>Nathan Gallagher</t>
  </si>
  <si>
    <t>Subscriptions are open for the newsletter with 1300 already subscribed. First newsletter is intended to be issued in August 2023</t>
  </si>
  <si>
    <t>The new website is currently in development and on schedule for an Autumn implementation.</t>
  </si>
  <si>
    <t>Modelling of collection rounds underway with a view to presenting a report at September Cabinet</t>
  </si>
  <si>
    <t>Considering vehicle options. Continuing to monitor performance with current level of resource.</t>
  </si>
  <si>
    <t>100%
12 Major apps received all within time</t>
  </si>
  <si>
    <t>94%
136 Other apps received 128 within time</t>
  </si>
  <si>
    <t>94%
54 Minor apps received 51 within time</t>
  </si>
  <si>
    <t>No responses received for Quarter 1</t>
  </si>
  <si>
    <t>Officers hold a review meeting once a fortnight. The MEO prepares a weekly report of deployments and reports on footage captured. Since the 1st April 2023 we have had 9 deployments.</t>
  </si>
  <si>
    <t>First initiative is on 19th July 2023 in Anglesey. Multi Agency approach including duty of care visits to businesses, inspections for flytipping, free bulky waste collections, skips funded by the parish and ASB Harmony  Domestic Violence information</t>
  </si>
  <si>
    <t xml:space="preserve">Currently being finished with a view to seeking independent review prior to submitting to CMT in September. </t>
  </si>
  <si>
    <t>Not achieved still awaiting date from BT for installation of connections by Open Reach.</t>
  </si>
  <si>
    <t>126kg - estimated as not all data received</t>
  </si>
  <si>
    <t>48.76% - estimated as not all data received</t>
  </si>
  <si>
    <t xml:space="preserve">Review underway </t>
  </si>
  <si>
    <t xml:space="preserve">Review of pre-application service underway </t>
  </si>
  <si>
    <t>High volume of new claims received, but remain on track.</t>
  </si>
  <si>
    <t>Meetings scheduled to take place in quarter 2 with CMT, Pre-cabinet and Cabinet</t>
  </si>
  <si>
    <t>Discussions have been held internally to talk about taking these forward.  Events will be planned in the Autumn and the New Year,</t>
  </si>
  <si>
    <t>This has been drafted and is currently with central Government for approval.</t>
  </si>
  <si>
    <t>Talks are ongoing with the NBCT to discuss housing the archives. The Trust have been sorting through the archives to re-house in Station Street and they are on target to complete by the end of July 2023.</t>
  </si>
  <si>
    <t>Talks are ongoing with the NBCT to discuss contacting former NBC artefact owners and establish how ESBC can help.</t>
  </si>
  <si>
    <t xml:space="preserve">The work is almost complete on the refurbishing the regen hub. The NBCT are planning to open the archives in September and this is on track as planned.  </t>
  </si>
  <si>
    <t>The tender process is still ongoing as formalities are signed off in relation to appointing the successful contractor.  This is on track.</t>
  </si>
  <si>
    <t>Ongoing discussions about how to take this work forward. We are meeting with an expert from the High Street Task Force so he can share his thoughts on how the work could be taken forward to help regenerate Uttoxeter.</t>
  </si>
  <si>
    <t>This has been in process.  The guidance has been updated and agreements reached about who should be on the panel. This is due to be launched in August 2023.</t>
  </si>
  <si>
    <t>Ongoing; talks planned with Perfect Circle to identify other potential funding through the National Lottery</t>
  </si>
  <si>
    <t>29.27% against a target of 30%</t>
  </si>
  <si>
    <t>35.17%, which is 2.17% above target</t>
  </si>
  <si>
    <t>£2.5M</t>
  </si>
  <si>
    <t>Slightly above the target for the year</t>
  </si>
  <si>
    <t>£1.5M</t>
  </si>
  <si>
    <t>The arrears level for one quarter of the year takes into account debits raised during the current year relating to last years charges</t>
  </si>
  <si>
    <t>Nil</t>
  </si>
  <si>
    <t>£80K</t>
  </si>
  <si>
    <t>On track</t>
  </si>
  <si>
    <t xml:space="preserve">Staff currently undertaking Energy Efficiency Training. EDR being drafted and quotes are being requested from contractors to undertake the works. </t>
  </si>
  <si>
    <t>Climate Change Communication Policy has been agreed by EDR and will be used to promote Public Transport</t>
  </si>
  <si>
    <t>Report currently being drafted</t>
  </si>
  <si>
    <t xml:space="preserve">The Council currently offers a 'No First Night Out' provision as part of well worked rough sleeping pathway. </t>
  </si>
  <si>
    <t>Formal consideration of current provision and possible alternatives to follow.</t>
  </si>
  <si>
    <t>There were 74 initial homelessness decisions issued in Q1, with an average time to initial decision of 0.27 days.</t>
  </si>
  <si>
    <t>1 day</t>
  </si>
  <si>
    <t>One unit was deemed unfit to relet due to water damage from the flat above, resulting in the offer of an alternative unit elsewhere. This 'key to key' instance has not been included in the target by reason of exception.</t>
  </si>
  <si>
    <t>5 days</t>
  </si>
  <si>
    <t>There were 2 'key to key' turnarounds during Q1, giving an average of 1 working day void.</t>
  </si>
  <si>
    <t>A Quick Call has been sent to 3 providers requesting quotations by 14 Aug 23 for mobilisation on 1 Sep 23.</t>
  </si>
  <si>
    <t>Work with partners to campaign for universal school meals by adopting and publicising a council motion</t>
  </si>
  <si>
    <t>The precursor to the strategy, the Homelessness Review, has recently been released for consultation.</t>
  </si>
  <si>
    <t>The Allocations and Lettings Service is currently undergoing an audit, and preliminary conversations have been undertaken with the current supplier to evaluate the possibility of an  extension.</t>
  </si>
  <si>
    <t>Owen Hurcombe</t>
  </si>
  <si>
    <t>Tourism Grant scheme is live on the new Discover East Staffordshire website</t>
  </si>
  <si>
    <t>https://discovereaststaffordshire.com/tourism-development-grants/</t>
  </si>
  <si>
    <t>Two stakeholder workshops have taken place to develop a narrative and launch the stimulate phase of the project.</t>
  </si>
  <si>
    <t>Big Burton coronation event took place with around 400 visitors attending to watch the coronation live and Market Garden event in May with over 4000 attendees and 50 stall holders</t>
  </si>
  <si>
    <t xml:space="preserve">Outdoor events planned across August as part of Brewhouse On Tour. </t>
  </si>
  <si>
    <t>New corporate website is currently on schedule for July implementation</t>
  </si>
  <si>
    <t xml:space="preserve">Procurement process commenced June 2023, and is expected to be completed in July 2023 ahead of equipment mobilisation and implementation. </t>
  </si>
  <si>
    <t>A Food Forum is planned for 11 Jul 23 and designed to understand current provision and how best to support activity targeted at those experiencing the greatest hardship.</t>
  </si>
  <si>
    <t>The Food Forum on 11th July was well attended.
Further planning and design is required to develop the appropriate mechanism to support this activity.</t>
  </si>
  <si>
    <t>(Motion agreed at Full Council on 3rd July 2023 - fully achieved Q2).</t>
  </si>
  <si>
    <t>Motion to be put to Full Council on 3rd July 2023.</t>
  </si>
  <si>
    <t>Tender specification complete and proposal currently with planning for listed building consent with proposed tender ready for Quarter 2.</t>
  </si>
  <si>
    <t>Elections were successfully delivered in May 2023, including the new requirements of the Elections Bill</t>
  </si>
  <si>
    <t>To be considered at the July Council meeting.</t>
  </si>
  <si>
    <t>Council approved at July 2023 meeting (Quarter 2).</t>
  </si>
  <si>
    <t>Officer team are seeking to identify potential locations across quarters 1 and 2</t>
  </si>
  <si>
    <t>Community Grant Scheme in place and open for bids to be received from early quarter 2</t>
  </si>
  <si>
    <t>Relaunched following outcome of election</t>
  </si>
  <si>
    <t>Officers have identified 4 areas across East Staffordshire for Carbon Capture &amp; Biodiversity enhancements. Designs for these are to be prepared across quarter 2 and 3.</t>
  </si>
  <si>
    <t>Judging has taken place across June and July. Results expected in the early Autumn</t>
  </si>
  <si>
    <t>Unity Park (Shobnall) has been entered for the first time in the IYN awards following the recent refurbishment undertaken using Levelling Up Parks funding.</t>
  </si>
  <si>
    <t>Winter Performance (22/23) report presented to Cabinet in July</t>
  </si>
  <si>
    <t>Report on the Market Hall Business case is to received by Cabinet in Qtr 2.</t>
  </si>
  <si>
    <t xml:space="preserve">Community Lottery launched in June. Target of 50 "good causes" required by July 22nd to launch Lottery. 54 had been registered by 13/7/22. A number of players have since signed up and the purchase of tickets has commenced </t>
  </si>
  <si>
    <t>Assessment of tree stock has been completed and the scope of any works is now being analysed by Officers.</t>
  </si>
  <si>
    <t xml:space="preserve">Recruitment of two new officers has taken place in Quarter 1 which will enable the Horticulture Centre and GO Garden to expand the opportunities for volunteering </t>
  </si>
  <si>
    <t xml:space="preserve">Initial research has begun. </t>
  </si>
  <si>
    <t xml:space="preserve">Chief Officer following up with BT. </t>
  </si>
  <si>
    <t>Report on the Market Hall Business case is to received by Cabinet in Qtr 2. This will consider the options of co-operative as part of the scope of works</t>
  </si>
  <si>
    <t>Two training sessions undertaken in May and June</t>
  </si>
  <si>
    <t xml:space="preserve">Report ready for discussion at CMT in July and due to Cabinet in August. </t>
  </si>
  <si>
    <t>Procurement process has started and advert on Delta (procurement portal) to request quotes</t>
  </si>
  <si>
    <t>The collection figures are on par with previous year</t>
  </si>
  <si>
    <t>We currently have a better collection rate compared to last year</t>
  </si>
  <si>
    <t>Health and Wellbeing</t>
  </si>
  <si>
    <t>Plans are underway and enhance where possible the provision from last winter.</t>
  </si>
  <si>
    <t>Quarterly baseline information has been collated and input also been collected through the DMP STEAM data</t>
  </si>
  <si>
    <t xml:space="preserve">Approval to be requested for constitution changes, also including the approach for public participation at scrutiny committees, at the full Council meeting scheduled for 3rd July 2023. </t>
  </si>
  <si>
    <t xml:space="preserve">Discussions held with Everyone Active, who will be running this free to access event in August 2023, supported by the Council. Building on the enhanced offering introduced in 2022, following feedback from last year's event further food provision will be implemented for 2023. </t>
  </si>
  <si>
    <t>This is currently being worked up within ESBC and will be discussed with relevant partners. Discussions are ongoing internally in order to get ready to procure some services once the detail is agreed with central Government.</t>
  </si>
  <si>
    <t xml:space="preserve">Meetings have continued with the HWG with plans for the Heritage Centre to be potentially located in Old Bass House discussed with the group. </t>
  </si>
  <si>
    <t>Data modelling has commenced for the current collection rounds. Each collection day over a fortnightly cycle being modelled and optimised with a view to procuring additional resources for housing growth.</t>
  </si>
  <si>
    <t xml:space="preserve">Collating data on food waste collections, including vehicles, staff resources and ancillaries. </t>
  </si>
  <si>
    <t xml:space="preserve">On-going discussions with Distribution Network Operator on the supply network. </t>
  </si>
  <si>
    <t xml:space="preserve">Air Source Heat Pumps and Solar PV are two green technologies that can be installed through Staffordshire Warmer Homes and ECO flex. Grant funding for both schemes is available and this is being advertised as part of our communications policy.  </t>
  </si>
  <si>
    <t>Data will start to be added from QTR 2</t>
  </si>
  <si>
    <t xml:space="preserve">There is an approved scheme for the Garden of Remembrance and talks are ongoing with Staffordshire County Council in relation to the lighting and the Diocese in terms of other improvements to the area. </t>
  </si>
  <si>
    <t>0.75 days</t>
  </si>
  <si>
    <t>3.5 days</t>
  </si>
  <si>
    <t>Multiple</t>
  </si>
  <si>
    <t>23 out of 27 (85%) requests removed within 5 days. Average time to remove = within 4 days (of receipt of notice from CCE team)
The 4 delayed occasions were due to resources being diverted to other work (3 coincided with A38 working and 1 for In Bloom preparations).
Disposal responsibility rests with the County Council, although the vast majority of our waste is sent for incineration at an energy from waste facility.</t>
  </si>
  <si>
    <t>As part of a project aimed at shaping a new music-led narrative for Burton we will deliver 6 pop-up live events and 2 workshops</t>
  </si>
  <si>
    <t>Climate Change and Environment</t>
  </si>
  <si>
    <t>Y</t>
  </si>
  <si>
    <t>Arrears levels across the board will be reviewed in the next quarter</t>
  </si>
  <si>
    <t>A pre-application advice application has been made and this is currently being discussed with the LPA. Once comments have been received, a planning application will be submitted and a revised programme agreed in line with this.</t>
  </si>
  <si>
    <t>The commencement of these works is dependent upon the success of the planning application. A pre-application advice application is currently being reviewed with the LPA.</t>
  </si>
  <si>
    <t>Quarter 2 
(July - September 2023)</t>
  </si>
  <si>
    <t>Year to date
(April - Sept 2023)</t>
  </si>
  <si>
    <t>QUARTER 2: July - September 2023</t>
  </si>
  <si>
    <t>0% surveys carried out April - July</t>
  </si>
  <si>
    <t>Budget Guidelines and timetable agreed with Cabinet Member</t>
  </si>
  <si>
    <t>48.07% - estimated</t>
  </si>
  <si>
    <t>248.18kg - estimated</t>
  </si>
  <si>
    <t>42% estimated</t>
  </si>
  <si>
    <t>500kg estimated</t>
  </si>
  <si>
    <t>Report drafted for discussion at Corporate Management Team.</t>
  </si>
  <si>
    <t xml:space="preserve">Scheme has been reviewed, recommending no change for 2024-25. Report being finalised. </t>
  </si>
  <si>
    <t>2 weeks of new claims and 40+ homeless cases to do.
On track to meet yearly target.</t>
  </si>
  <si>
    <t>This has been approved</t>
  </si>
  <si>
    <t>This was approved by Council in September. Discussions ongoing with Procurement spec agreed for the delivery of some Business services; discussions with County over contract with them to deliver business services; proposal received from Community Foundation for service aimed at unemployed people; the Ward Enhancement Programme has been launched and Uttoxeter Regeneration project is progressing.</t>
  </si>
  <si>
    <t>Most artefacts held with Molson Coors; regular discussions take place with NBHT over the artefacts. A letter has been issued via the Trust to owners.</t>
  </si>
  <si>
    <t>The updated concept for Bass House, impacting the wider project, was approved by Council in September.</t>
  </si>
  <si>
    <t>One project is nearing completion (College Project), the cycle network project is well underway and the Towpath project will shortly be commencing.</t>
  </si>
  <si>
    <t>Designs for the Garden of Remembrance have been created. Meetings will now take place with the Diocese of Lichfield and St Modwens Church to further refine as needed.</t>
  </si>
  <si>
    <t>The findings of the consultation were considered by Cabinet Members, which informed the next steps for the project.</t>
  </si>
  <si>
    <t>This was approved by Council in July and the building is now in the Council's ownership.</t>
  </si>
  <si>
    <t>Amion concept proposal agreed by Council along with a recommendation to put this forward to a potential Levelling Up Fund Round 3. As of the end of September, Government has confirmed that LUF3 is still going ahead with details to follow.</t>
  </si>
  <si>
    <t>Policy reviewed and informal consultation has taken place. Presented to Pre Cabinet 21st September and due before Pre Cabinet again on 19th October 2023.</t>
  </si>
  <si>
    <t>1.45 days</t>
  </si>
  <si>
    <t xml:space="preserve">The Council meeting held on 25th September 2023 was the first meeting to be livestreamed. </t>
  </si>
  <si>
    <t xml:space="preserve">A review of the Council's Communications, Engagement and Consultation Strategy has been completed and is due to be presented to the cabinet meeting in October 2023.  </t>
  </si>
  <si>
    <t>Completed in Quarter 1</t>
  </si>
  <si>
    <t>Quarterly Performance Report presented to Corporate Management Team, Leader and Deputy Leaders, LAG / LOAG, Cabinet during August / September 2023 and at the 3 Scrutiny Committee meetings held in September</t>
  </si>
  <si>
    <t xml:space="preserve">Playday event was held in August, which included an increase in attendance of 900 people, an increase to 38 in Community groups being part of the event and showcasing themselves. Enhanced food options were available and the new Cycle Hub was given an official opening by the Mayor on the day. </t>
  </si>
  <si>
    <t xml:space="preserve">Supported an air quality bid with Staffordshire County Council for the procurement of electric buses to support and promote public transport.  </t>
  </si>
  <si>
    <t xml:space="preserve">The Public Events Safety Advisory Group Policy has been updated and approved via EDR. Website has been amended to incorporate additional advice and guidance for event organisers and social media will be used to promote. </t>
  </si>
  <si>
    <t xml:space="preserve">EDR completed to approve the procurement of a consultancy to deliver the works. </t>
  </si>
  <si>
    <t>Article drafted to be used for the E-business newsletter</t>
  </si>
  <si>
    <t xml:space="preserve">Report completed and due to be taken to CMT in Oct for approval in Nov. </t>
  </si>
  <si>
    <t>A pre launch site is currently undergoing testing before a live launch later in the Autumn.</t>
  </si>
  <si>
    <t>Grants are now being accessed by local operators.</t>
  </si>
  <si>
    <t>The Strategic Delivery Framework for Tourism in East Staffordshire will be considered for approval at Cabinet in October 2023.</t>
  </si>
  <si>
    <t xml:space="preserve">We continue to monitor and record attendances to create a baseline. </t>
  </si>
  <si>
    <t>Works have been started towards completing this objective with a review of current signposting and way marking signage around Burton upon Trent</t>
  </si>
  <si>
    <t>The project will launch a programme of live music events which will be hosted across Burton upon Trent by local musicians, bands and performers in November. These musicians have benefitted from a wide range of ongoing support including workshops and marketing.</t>
  </si>
  <si>
    <t>The service was awarded to Citizens Advice Mid Mercia, and the contract commenced on 3 October 2023.</t>
  </si>
  <si>
    <t>The Warm Spaces Grant programme was opened for applications w/c 16 October 2023.</t>
  </si>
  <si>
    <t>The Food Aid Fund was opened for applications w/c 16 October 2023.</t>
  </si>
  <si>
    <t>The matter was fully considered by the portfolio holder who was content with the current 'No First Night Out' provision which utilises hotels.</t>
  </si>
  <si>
    <t>The Community Kitchens Fund was opened for applications w/c 16 October 2023.</t>
  </si>
  <si>
    <t>Motion agreed at Full Council on 3 July 2023.</t>
  </si>
  <si>
    <t>Consultation on the revised strategy closes on 20 October 2023, with a Cabinet Report to follow.</t>
  </si>
  <si>
    <t>Officers have identified five sites for potential orchards and the introduction of wildlife corridors. These are Oxhay rugby fields, Vancouver Drive, Edge Hill park and Pennycroft Park. The fifth site is Heritage Park which is scheduled to be transferred to ESBC by the developer.</t>
  </si>
  <si>
    <t>New officer team are expanding volunteering opportunities and have forged strong links with Better Health Staffordshire. Officers are exploring the possibility  of co-working with Better Health Staffordshire on a "Gardening for Better Health" scheme that will encourage residents to grow, prepare and cook their own vegetables and herbs.</t>
  </si>
  <si>
    <t>Report has been deferred until December Cabinet.</t>
  </si>
  <si>
    <t>Business case outcomes have led to the commissioning of an independent consultancy to engage with the communities of East Staffordshire to help understand the preferred future use of the Market Hall.</t>
  </si>
  <si>
    <t>£6.696.596.89</t>
  </si>
  <si>
    <t>1.859m identified for potential w/off</t>
  </si>
  <si>
    <t>0.64% below target for 30/9</t>
  </si>
  <si>
    <t>£1,858.910.8</t>
  </si>
  <si>
    <t>There were 62 initial decisions over the period, with 43 total days from interview to decision resulting in an average of 0.69 days to initial decision.</t>
  </si>
  <si>
    <t>0.5 days</t>
  </si>
  <si>
    <t>There were 5 'key to key' void turnarounds during Q2, giving an average of 3.75 days void.</t>
  </si>
  <si>
    <t>2.4 days</t>
  </si>
  <si>
    <t>4 days</t>
  </si>
  <si>
    <t xml:space="preserve">The extraordinary Council meeting held on 2nd October 2023 was also livestreamed. 
Equipment has been procured to allow the Council to stream meetings moving forward. </t>
  </si>
  <si>
    <t xml:space="preserve">The Council approved constitution changes, also including the approach for public participation at scrutiny committees, at the full Council meeting on 3rd July 2023. 
Opportunity for public questions now forms part of all Scrutiny meeting agendas. </t>
  </si>
  <si>
    <t>It has been identified that many of our existing suppliers support development of staff through apprenticeships or trainee schemes as a significant element of their workforce strategy. 
In order to encourage future suppliers to recruit new apprentices Members  could consider revising the Procurement Policy at the next refresh to place  emphasis on this area.</t>
  </si>
  <si>
    <t>Review work is ongoing. 
Regarding the Quarry Site, Staffordshire FA have agreed to take up a 30 year lease to manage the site, with plans to include: 
 - ‘Good’ Standard football pitches
 - Full Size 3G pitch
 - Clubhouse/Community Facilities
 - Community Hub
 - Changing Rooms (Grassroots and NLS compliant)
 - Access Road
 - Car Park
The MTFS 2023/24 includes support for the Uttoxeter Sports Hub of £1.7m, including a contribution from Section 106 funding to help Staffordshire FA unlock additional funding from the Football Foundation. Further, the 2023/24 Corporate Plan has a target, TCD10 to ‘’Review outdoor sports provision in Uttoxeter, including the proposed Sports Hub and other potential sites’’ (March 2024 target date).
Regarding wider Uttoxeter sports provision, a brief was issued in September to potentially look into the feasibility of possible improvements at Pennycroft.</t>
  </si>
  <si>
    <t>Spend analysis underway to inform a Procurement Improvement Action Plan.</t>
  </si>
  <si>
    <t>The first copy of the business newsletter was issued in September 2023, with the next copy to be issued towards the end of October 2023. These are on track to be issued on a monthly basis.</t>
  </si>
  <si>
    <t>Timeline and plan produced and agreed with the Trust.</t>
  </si>
  <si>
    <t>Contractors appointed.</t>
  </si>
  <si>
    <t>Future direction agreed and will be further reported to Council, as required; brief for architects produced with Cabinet member and now out to open procurement. Internal officer meeting to discuss how the High Street Task Force work could link in with the Maltings development.</t>
  </si>
  <si>
    <t>Average 0.71  days</t>
  </si>
  <si>
    <t>Research undertaken.</t>
  </si>
  <si>
    <t>Topics agreed with Cabinet Member - Calendar invitations to be sent.</t>
  </si>
  <si>
    <t>The installation works have been completed in Uttoxeter and Burton excluding the below,
C9354, Uxbridge/Queen street – out of hours location, being upgraded out of hours week commencing 09.10.23. 
There is a power issue in Uttoxeter on x2 lighting columns within Uttoxeter cameras C9335, C9336, C9337 and C9338 will not be operational as these receive the network connectivity from radios from previous columns. Camera C9345 Asda Loading bay has no power currently. Work is being undertaken to rectify this.</t>
  </si>
  <si>
    <t>CRF relaunched alongside CCF in Q2.</t>
  </si>
  <si>
    <t>Achieved in Q1.</t>
  </si>
  <si>
    <t>At the regional awards ESBC scooped 15 gold and silver gilt awards.</t>
  </si>
  <si>
    <t>GD09 identifies the location for potential carbon capture and bio-diversity areas. Designs have been prepared and shared with the Climate Change Officer to assess the carbon capture capability.</t>
  </si>
  <si>
    <t>ESBC won gold for Winshill, Burton and Uttoxeter, with Uttoxeter coming away with the category winner award. ESBC also received a judges special recognition award for our innovative sustainable planting schemes with judges describing East Staffordshire as "leading the way".</t>
  </si>
  <si>
    <t>Assessment is complete and a report is being prepared for Cabinet in Qtr 3.</t>
  </si>
  <si>
    <t>Winter Performance (22/23) report presented to Cabinet in July.</t>
  </si>
  <si>
    <t>Consider the outcome of an independent HM Treasury Green Book compliant business case assessment on future options for the Market Hall</t>
  </si>
  <si>
    <t>To be considered by Development Plan Committee on 30/10/2023.</t>
  </si>
  <si>
    <t>3 training sessions carried out.</t>
  </si>
  <si>
    <t>Continuing to monitor performance with current resources and identifying potential gaps.</t>
  </si>
  <si>
    <t>Report considered and approved by Cabinet in September 2023.</t>
  </si>
  <si>
    <t>Fleet and Operations Manager continues to trial vehicles.</t>
  </si>
  <si>
    <t>Action plan currently being drafted.</t>
  </si>
  <si>
    <t>Timescales being reviewed for 22/23.</t>
  </si>
  <si>
    <t>Report completed and approved by Cabinet in August.</t>
  </si>
  <si>
    <t>No responses received for Quarter 2.</t>
  </si>
  <si>
    <t>Awaiting figures from FMU</t>
  </si>
  <si>
    <t>The 6 pop-up live events will be delivered across November, with the Burton Music Collective events being launched at the Brewhouse on 3 November with a performance by Riding the Low.</t>
  </si>
  <si>
    <t>Brewhouse on Tour events were delivered across the summer in Uttoxeter and Burton. The outdoor family events included performances, activities and events.</t>
  </si>
  <si>
    <t>Report completed and will be considered by Cabinet at their October 2023 meeting.</t>
  </si>
  <si>
    <t xml:space="preserve">Energy Efficiency Training completed by key EH staff. EDR completed and signed off. Suppliers identified for materials and awaiting quick call to secure a contractor to install the works. </t>
  </si>
  <si>
    <t xml:space="preserve">HUGS2 scheme has been launched through Staffordshire Warmer Homes in partnership with Staffordshire County Council and Community Home Solutions. This will target key households that are off gas with alternative heating sources including air source heat pumps and solar PV. </t>
  </si>
  <si>
    <t>Balance owed on one invoice £71,186.00 by Staffs PCC on which Mike Hovers has confirmed payment is pending from supplier</t>
  </si>
  <si>
    <t>1.19% above target for 30/9</t>
  </si>
  <si>
    <t xml:space="preserve">Staffordshire FA are in the process of collating information for this application to the Football Foundation, for example population, demographics, community information of Uttoxeter etc. to help demonstrate the need for the project and support the application. </t>
  </si>
  <si>
    <t>A review has been completed, with recommendations approved by Cabinet in September 2023.</t>
  </si>
  <si>
    <t>A pre-application advice application was submitted earlier in the year. A full application has been held back on account of changes to the approach to the High Street Project being considered and subsequently approved by Council in September.</t>
  </si>
  <si>
    <t>Fund has been launched, the first panel meeting has been held with the first successful applicant being awarded.</t>
  </si>
  <si>
    <t>Our First initiative was 19th July in Anglesey. Second initiative was 1st October 2023 in Shobnall. Businesses and licensing premises.</t>
  </si>
  <si>
    <t>In collaboration with Waste Management a trial of a micro vertical garden is to take place on the public toilets at Newton Road Winshill. Aside from public toilets there are few Council buildings that naturally lend themselves to vertical gardens. An alternative is to encourage climbing plants on structures. Opportunities may exist for the installation of vertical gardens on the Leisure centres. This will require the consent of Everyone Active and the commissioning of a specialist consultant.</t>
  </si>
  <si>
    <t>311k identified for potential w/off</t>
  </si>
  <si>
    <t>Dates are set for 5 engagement events with the first one taking place on Tuesday 17 October in Burton at Café Zen.  Fliers produced to promote the event which have been circulated to all town centre businesses; one to one meetings held with business and Business Development Officer, Eventbrite link set up.</t>
  </si>
  <si>
    <t>The implementation of a Citizens Jury has been included in the draft Communications, Engagement and Consultation Strategy due to be presented to the October Cabinet meeting, ahead of the specific details of the approach being modelled moving forward.</t>
  </si>
  <si>
    <t>A refreshed Corporate Website went live in August 2023.</t>
  </si>
  <si>
    <t>The works undertaken by the Council were completed earlier in the summer, however the unit has not launched as of the end of September due to the relocation of items by the National Brewery Trust still being underway.</t>
  </si>
  <si>
    <t>44 out of 62 removed within 5 days (71%). Progress to be reviewed in December, baseline to be set in March.</t>
  </si>
  <si>
    <t>Rather than creating our own Fair Employment Charter we are exlporing the possibility of actively engaging in the larger Midlands region Good Work Charter. This has the potential to create greater opportunities for the Borough’s employers.</t>
  </si>
  <si>
    <t>We received a decision notice from the Planning Officer 12.10.23. There are no pre-commencement conditions, therefore work to procure contractors can now begin.</t>
  </si>
  <si>
    <t>Target proposed for deletion to reflect Cabinet decision  taken in September to conduct a consultation exercise.</t>
  </si>
  <si>
    <t>Survey of Members undertaken.</t>
  </si>
  <si>
    <t>122.24 kg - estimated as not all data received
Latest published quartile data (2021/22) for English district authorities shows top quartile as 421kg</t>
  </si>
  <si>
    <t>47.48% - estimated as not all data received
Latest published quartile data (2021/22) for English district authorities shows top quartile as 51.3%</t>
  </si>
  <si>
    <t>An online form to allow public questions to be submitted to Cabinet Members went live in September 2023. This webpage also allows for face to face sessions to be coordinated with the Cabinet Members.</t>
  </si>
  <si>
    <t>Following the Council decision in September 2023 regarding the future development at the High Street project, this development proposal is currently being considered as part of the wider scheme and so is not being taken forward to implementation at this time.</t>
  </si>
  <si>
    <t>100%
9 Major apps received all within time
Latest published quartile data (2022/23) for English district authorities shows top quartile as 95%</t>
  </si>
  <si>
    <t>96%
51 Minor apps received 49 within time
Latest published quartile data (2022/23) for English district authorities shows top quartile as 91%</t>
  </si>
  <si>
    <t>96%
127 Other apps received 122 within time
Latest published quartile data (2022/23) for English district authorities shows top quartile as 94%</t>
  </si>
  <si>
    <t>Greg Osborne</t>
  </si>
  <si>
    <t>James Hopwood</t>
  </si>
  <si>
    <t>Mark Rizk</t>
  </si>
  <si>
    <t>Timescales reviewed for 22/23 and to be reported for Scrutiny</t>
  </si>
  <si>
    <t xml:space="preserve">Review of progress reported in December and approved by Cabinet. Ongoing delivery through energy efficiency measures being delivered through Stafffordshire Warmer Homes for ECO4 and HUGS 2. </t>
  </si>
  <si>
    <t xml:space="preserve">Review of progress reported in December and approved by Cabinet. Local cycle firms have been engaged however we have had a poor response and lack of interest from cycle companies. This has been highlighted in a briefing report. </t>
  </si>
  <si>
    <t xml:space="preserve">Measures have begun to be implemented in properties, mainly LED bulbs, electric blankets and radiator reflector panels to date. </t>
  </si>
  <si>
    <t>Action plan being drafted for approval in March prior to consultation</t>
  </si>
  <si>
    <t xml:space="preserve">Article for e-newsletter completed and working with waste management for further options </t>
  </si>
  <si>
    <t xml:space="preserve">Report completed and approved by Cabinet in November </t>
  </si>
  <si>
    <t>Two undertaken so far with another planned first week of January 2024 in Anglesey and the final initiatitve in March 2024.</t>
  </si>
  <si>
    <t>Report with recommendations approved by Cabinet in Oct-23.</t>
  </si>
  <si>
    <t>Report with recommendations approved by Cabinet in Nov-23</t>
  </si>
  <si>
    <t>Completed report and EDR October 2023. Contacted Midlands Engine via website link November 2023; and followed up with Midlands ACAS in December 2023 to progress as Aspire status to Midlands Good Work Charter. Invited to ACAS  MGWC meeting Feb.</t>
  </si>
  <si>
    <t>99.97%</t>
  </si>
  <si>
    <t>100%
7 Major apps received all within time
Latest published quartile data (2022/23) for English district authorities shows top quartile as 95%</t>
  </si>
  <si>
    <t>91%
47 Minor apps received 43 within time
Latest published quartile data (2022/23) for English district authorities shows top quartile as 91%</t>
  </si>
  <si>
    <t>90%
137 Other apps received 123 within time
Latest published quartile data (2022/23) for English district authorities shows top quartile as 94%</t>
  </si>
  <si>
    <t>No responses received for Quarter 3.</t>
  </si>
  <si>
    <t>The College project is completed with the launch planned for March 2024. The canal project will be delivered in three phases with the first phase being from Branston Water Park to the outskirts of Burton which has been completed and the next phase undertaken. The cycle way on station street is now completed.</t>
  </si>
  <si>
    <t>Five businesses have been successful with their bids to the Boosting Business Programme with a further 3 to go to the January panel.</t>
  </si>
  <si>
    <t xml:space="preserve">Business Engagement Events have been held at Café Zen in Burton, the Leek Building Society in Uttoxeter and Queen Street Community Centre in Burton. The next one is planned for 17 January at Malone Group on Centrum 100. </t>
  </si>
  <si>
    <t>Approved in Quarter 2</t>
  </si>
  <si>
    <t>Completed in Quarter 2</t>
  </si>
  <si>
    <t>Agreed in Quarter 2</t>
  </si>
  <si>
    <t>Sarner, specialists in creatign visitor exepreinces,  have been commissioned to undertake work to develop the visitor experience for Bass House. As part of this they will be engaging stakeholders to develop the plans.</t>
  </si>
  <si>
    <t>377.85kg - estimated</t>
  </si>
  <si>
    <t>507kg</t>
  </si>
  <si>
    <t>44.45% - estimated</t>
  </si>
  <si>
    <t>41%</t>
  </si>
  <si>
    <t>Average 1.00 day</t>
  </si>
  <si>
    <t>2.32 days</t>
  </si>
  <si>
    <t>NDR has dedicated phone line, separation of officer requirements to enable concentration on the recovery of all years debts.</t>
  </si>
  <si>
    <t>With the other changes and the move towards a digital presence we expect the recovery to gradually improve. Shall introduce a push on DD take up during the annual billing process. Currently at 89.45%</t>
  </si>
  <si>
    <t>Quarter 3
(October - December 2023)</t>
  </si>
  <si>
    <t>Year to date
(April - Dec 2023)</t>
  </si>
  <si>
    <t>QUARTER 3: October - December 2023</t>
  </si>
  <si>
    <t>Quarter 4
(January - March 2024)</t>
  </si>
  <si>
    <t>QUARTER 4: January - March 2024</t>
  </si>
  <si>
    <t xml:space="preserve">Investigation into the pre-app service undertaken as part of a larger project looking at resources and the new requirements as part of the planning increase legislation. Pre-application service to be reintroduced from April following a reassessment of the tiers of advice to be offered and ensure costs are fully recovered . </t>
  </si>
  <si>
    <t xml:space="preserve">A review of the Council's Communications, Engagement and Consultation Strategy has been completed and was approved at the Cabinet meeting in October 2023.  </t>
  </si>
  <si>
    <t>The implementation of a Citizens Jury has been included in the draft Communications, Engagement and Consultation Strategy approved at the October Cabinet meeting, ahead of the specific details of the approach being modelled moving forward. A model is being researched and discussions have been held with other ocal authorities that have undertaken similar exercises to all the Council to consider an approach and the budget for the necessary costs. A report is due to come forward in March 2024 to introduce an approach for delivery in 2024/25.</t>
  </si>
  <si>
    <t xml:space="preserve">The Better Health Staffordshire East Staffordshire group continue to met on a quarterly basis. The priority theme of Food has been worked on by a specific task and finish group in order to hold a themed event relating to Food. At the event 'Food for Thought', local stakeholders will be working together to identify actions that enable healthy and nutritious food to be accessible for the people of East Staffordshire. </t>
  </si>
  <si>
    <t xml:space="preserve">Quarterly Performance information presented to Corporate Management Team, Pre-Cabinet, LAG / LOAG, Cabinet during November / December 2023 and at the 3 Scrutiny Committee meetings held in December 2023 / January 2024. </t>
  </si>
  <si>
    <t xml:space="preserve">Consultants have been engaged and work underway on indoor and outdoor sports facility provision. Consultant's reports due in early 2024. </t>
  </si>
  <si>
    <t>A new Strategic Delivery Framework for Tourism in East Staffordshire was approved by cabinet in October 2024.</t>
  </si>
  <si>
    <t>Baseline monitoring is ongoing throughout 2023/24.</t>
  </si>
  <si>
    <t>The review of way marking around Burton upon Trent has commenced.</t>
  </si>
  <si>
    <t>New website were launched in December 2023.</t>
  </si>
  <si>
    <t>Ten local free food providers are being supported for a period of 6 months to enable them to purchase the stocks they need.</t>
  </si>
  <si>
    <t>Two applicants have been grant funding, with a  third applicant being actively considered.</t>
  </si>
  <si>
    <t>Refreshed Strategy approved at Cabinet in December 2023.</t>
  </si>
  <si>
    <t xml:space="preserve">Update provided in the November Member Briefing. </t>
  </si>
  <si>
    <t>0.4 days</t>
  </si>
  <si>
    <t>There were 5 'key to key' instances across 4 properties giving a total of 8 days and an average of 1.6 days.</t>
  </si>
  <si>
    <t>2.1 days</t>
  </si>
  <si>
    <t>Sixteen Warm Spaces have been awarded grant funding and are in operation for the winter period.</t>
  </si>
  <si>
    <t>Achieved Quarter 2.</t>
  </si>
  <si>
    <t>Report produced to be considered in January by CMT for February Cabinet.</t>
  </si>
  <si>
    <t>There were 98 initial decisions over the period, with 20 days from interview to decision resulting in an average of 0.2 days to initial decision.</t>
  </si>
  <si>
    <t>Two properties have been excluded form the calculation by exception; one property was held for a severly disabled person pending an Adult Social Care Assessment. A second property is excluded because it was subject due to decant of the occupants following water ingress from the flat above.</t>
  </si>
  <si>
    <t>The review of the scheme has been completed and no change was advised - this has been agreed with both the Leader's Advsiory Group and Leader of the Opposition's Advisory Group.</t>
  </si>
  <si>
    <t xml:space="preserve">Present year to date figure is 4.29 days to process new claims </t>
  </si>
  <si>
    <t>Increase in recovery resource, training delivered, improved software access (tracing etc.) to contain propensity to pay report. New policies being submitted for approval to empower the recovery team. The arrears are being examined and a more accurate approach to be taken on designation of arrears and recoverable figures.</t>
  </si>
  <si>
    <t>Improvement in tracing software to increase the capability of finding and chasing debtors.</t>
  </si>
  <si>
    <t>Bringing in new software (previously purchased but not brought to fruition) and assigned a new resource with specialist knowledge in this area. A strategy of approach and automated recovery on DWP claimants should increase recovery statistics. Greater impact in February/March.</t>
  </si>
  <si>
    <t>Improvements of the access for customers to the system/department has been commenced. The service is moving towards a higher digitial delivery, with smart forms and on-line service 24/7 with improved and increased information on each step of the benefit claimants journey. This may extend past Q4 before fully in place.</t>
  </si>
  <si>
    <t>89.45%</t>
  </si>
  <si>
    <t>Designated phone line and improved system will impact 2024/25 year - present projection for this year means we will hit target within 2 financial years, currently at 86.18%</t>
  </si>
  <si>
    <t>86.18%</t>
  </si>
  <si>
    <t>Completed in Quarter 2.</t>
  </si>
  <si>
    <t>Completed in Quarter 1.</t>
  </si>
  <si>
    <t>Review work is ongoing. 
Regarding the Quarry Site, Staffordshire FA have agreed to take up a 30 year lease to manage the site, with plans to include: 
 - ‘Good’ Standard football pitches
 - Full Size 3G pitch
 - Clubhouse/Community Facilities
 - Community Hub
 - Changing Rooms (Grassroots and NLS compliant)
 - Access Road
 - Car Park
The MTFS 2023/24 includes support for the Uttoxeter Sports Hub of £1.7m, including a contribution from Section 106 funding to help Staffordshire FA unlock additional funding from the Football Foundation. Further, the 2023/24 Corporate Plan has a target, TCD10 to ‘’Review outdoor sports provision in Uttoxeter, including the proposed Sports Hub and other potential sites’’ (March 2024 target date).
Regarding wider Uttoxeter sports provision, a brief was issued in September to potentially look into the feasibility of possible improvements at Pennycroft. The consultant's report is expected in early 2024.</t>
  </si>
  <si>
    <t>The first copy of the business newsletter was issued in September 2023, and is on track for a minimum of 6 newsletters to be delivered in 2023/24.</t>
  </si>
  <si>
    <t>A Procurement Improvement Action Plan was collated based on spend analysis and approved by cabinet in November 2023.</t>
  </si>
  <si>
    <t xml:space="preserve">The Member Induction programme was completed at the end of September 2023. Upon completion of the Programme a survey was issued to all Members for feedback to be provided throughout October. Outcomes of the review have been communicated to all Members via the Intranet and Member Briefing. </t>
  </si>
  <si>
    <t>Target approved for deletion as part of Q2 performance report.</t>
  </si>
  <si>
    <t>2</t>
  </si>
  <si>
    <t>4</t>
  </si>
  <si>
    <t>The taxi policy is now out for consultation which concludes 2nd February 2024. The results will be put before the licensing committee with a view to full council on the 18th March 2024.</t>
  </si>
  <si>
    <t>A report setting out the steps required to insource council services  was considerd by Pre Cabinet in October.</t>
  </si>
  <si>
    <t>A report reviewing progress towards the Green New Deal targets was considered by Cabinet in December. 
The Newton Road trial is to continue as part of the wider "In Bloom" and It's Your Neighbourhood Park entries. Changing rooms present another opportunity, but are subject to permission from Everyone Active. Vertical and rooftop spaces to be rolled in 24/25 as part of plans to "wild existing parks and open spaces.</t>
  </si>
  <si>
    <t xml:space="preserve">A report reviewing progress towards the Green New Deal targets was considered by Cabinet in December. 
Identified sites have now been assessed with geographical context and ground conditions placing restrictions on what can and cannot be introduced. Planting schemes and designs to be worked up in quarter 4. </t>
  </si>
  <si>
    <t>A report reviewing progress towards the Green New Deal targets was considered by Cabinet in December. (See GD09)</t>
  </si>
  <si>
    <t>Report considered by Cabinet in December 2023.</t>
  </si>
  <si>
    <t>Opportunities for volunteering now include: Horticulture Centre- Social prescribing (Tuesdays) general volunteering opportunities (Wednesday &amp; Thursday). Work placements (twice a week). Go Garden- general volunteering (Wednesday- with ambitions to expand into a Monday in the Spring).
We have also established a new group at the Greenhouse on Wednesdays. We also have work experience students two days per week at the Greenhouse.
We currently have a regular volunteer group at Go Garden on a Wednesday but are currently promoting additional sessions on Mondays and Wednesdays which will start in spring.</t>
  </si>
  <si>
    <t>Completed Quarter 2.</t>
  </si>
  <si>
    <t>EDR 112/24 prepared setting out changes made.</t>
  </si>
  <si>
    <t xml:space="preserve">A report reviewing progress towards the Green New Deal targets was considered by Cabinet in December. 
Efficiency standards will continue to be monitored and reported to Development Plan Committee and considered as part of any Local Plan Review. At this stage it is useful to note the current consultation 'The Future Homes and Buildings Standards' which closes on 6th March. </t>
  </si>
  <si>
    <t xml:space="preserve"> </t>
  </si>
  <si>
    <t>As at December planning committee members have received 9 dedicated training sessions.</t>
  </si>
  <si>
    <t>1 all member briefing session delivered in December.</t>
  </si>
  <si>
    <t>Development Plan Committee concluded on the review in October.</t>
  </si>
  <si>
    <t xml:space="preserve">Achieved Quarter 1. </t>
  </si>
  <si>
    <t xml:space="preserve">https://www.brewhouse.co.uk </t>
  </si>
  <si>
    <t>A report reviewing progress towards tackling Envirocrime was considered by Cabinet in December and the purchase of a mobile fly tipping removal vehicle will be considered within the annual review of the 24/25 MTFS.</t>
  </si>
  <si>
    <t xml:space="preserve">A report reviewing progress towards tackling Envirocrime was considered by Cabinet in December. Monitoring of removals will continue to be recorded and reported through the Corporate Plan and used to set a target for 2024/25. </t>
  </si>
  <si>
    <t>0%</t>
  </si>
  <si>
    <t>Surveys carried out Aug - Nov 23</t>
  </si>
  <si>
    <t>Achieved in Q2.</t>
  </si>
  <si>
    <t>129.66kg (estimated as not all data received)</t>
  </si>
  <si>
    <t>37.79% (estimated as not all data received)</t>
  </si>
  <si>
    <t>Council's Operations and Fleet Manager has scheduled in demonstration vehicles for Q4.</t>
  </si>
  <si>
    <t>Report currently being drafted with options appaisal. Due to be considered by Cabinet in March-24.</t>
  </si>
  <si>
    <t>Investigating options for Solar PV installation on coucil buildings.</t>
  </si>
  <si>
    <t>Review of progress reported in December and approved by Cabinet. Supported two Electric Bus bids in partnership with Staffordshire County Council. Ongoing support with the bus service improvement plan.</t>
  </si>
  <si>
    <t>Completed Q2.</t>
  </si>
  <si>
    <t>EDR approved and contract to be signed. Arranging dates for works to be started.</t>
  </si>
  <si>
    <t>Lloyd Haynes</t>
  </si>
  <si>
    <t>Preparations for a revised MTFS are underway and due to be considered at Full Council in February.</t>
  </si>
  <si>
    <t>Due to be considered at Full Council in February.</t>
  </si>
  <si>
    <t>A report reviewing progress towards tackling envirocrime was considered by Cabinet in December. 
During Quarter 3 there were 8 mobile cameras operating in the Borough (5 new deployments and 3 continuing from Q2). So far this year (as of 31st December) the cameras have been used to cover 17 locations around the Borough.</t>
  </si>
  <si>
    <t>17</t>
  </si>
  <si>
    <t>81% (120/149 incidents)</t>
  </si>
  <si>
    <t xml:space="preserve">The Burton Music Collective live events were successfully delivered across November, with the majority of the events achieving capacity audiences. </t>
  </si>
  <si>
    <t>18.01.24 = 96.13%</t>
  </si>
  <si>
    <t>18.01.24 = 98.30%</t>
  </si>
  <si>
    <t>This year there have been 12 deployments up to 30th September 2023 (NB this was incorrectly reported in the Q2 report but figures have now been corrected)</t>
  </si>
  <si>
    <t>Chief Financial S151 Officer</t>
  </si>
  <si>
    <t xml:space="preserve">Chief Financial S151 Officer 
&amp; Legal and Regulatory Services </t>
  </si>
  <si>
    <t>Corporate &amp; Environment Services</t>
  </si>
  <si>
    <t>Legal &amp; Regulatory Services 
&amp; Corporate &amp; Environment Services</t>
  </si>
  <si>
    <t>Legal &amp; Regulatory Services</t>
  </si>
  <si>
    <t>£2.872M</t>
  </si>
  <si>
    <t>£1.525M</t>
  </si>
  <si>
    <t>£269K</t>
  </si>
  <si>
    <t>93%</t>
  </si>
  <si>
    <t>The subsidy claim for 2022/23 stated we are well below the threshold of the LA Error allowances. This is actually an area we could address to maximise revenue for the authority.</t>
  </si>
  <si>
    <t>89%</t>
  </si>
  <si>
    <t>64%</t>
  </si>
  <si>
    <t>The Regeneration hub has now been completed and is open for members of the public to access. Works on the archive centre were completed ahead of this deadline, however the transfer of materials is an ongoing process due to the volume and perishability of the items in question.</t>
  </si>
  <si>
    <t>Further talks have taken place with Staffordshire Wildlife Trust to develop plans for the Visitor Centre, which is now being taken forward in the 2024/25 Corporate Plan.</t>
  </si>
  <si>
    <t xml:space="preserve">The specification of works for the Brewhouse Roof has been completed and procurement works are ongoing. At this time, a programme of physical works has not yet been agreed, but will be confirmed in Quarter 4 by the project team. </t>
  </si>
  <si>
    <t>Out of the 44 cameras which were upgraded, 4 await connection. Electrical testing, structural and equipment applications have been submitted and are being processed for these remaining cameras.</t>
  </si>
  <si>
    <t>Members considered the report at the December 2023 Cabinet with the recommendations being approved. This key decision was subsequently called-in for discussion at the Scrutiny (Value for Money Council) Committee held on 17th January 2024. The Committee voted to allow the decision to stand and the recommendations will now be implemented.</t>
  </si>
  <si>
    <t>Ensure fly-tipping is removed as quickly as possible (within 5 days of receipt of notice from CCE team) and disposed of in an environmentally friendly way
*Target refers to fly-tipping within the public realm</t>
  </si>
  <si>
    <t>Helen Bacon</t>
  </si>
  <si>
    <t>Approved by Full Council in February 2024</t>
  </si>
  <si>
    <t xml:space="preserve"> Finance session delivered as part of member induction programme, 'the role of audit committee' to Audit Committee in June 2023, 'the role of internal audit' to Audit Committee in June 2023, 'the role of external audit' to Audit Committee in September 2023</t>
  </si>
  <si>
    <t>4 sessions delivered across the year</t>
  </si>
  <si>
    <t>The Q4 figures are 2.52 days CoCs and 3.89 days for New claims.
The inal year to date figures are 2.47 and 4.15 respectively.</t>
  </si>
  <si>
    <t xml:space="preserve">Details of the training sessions are:                                                          May – Induction general overview 
June – Planning Conditions 
July – Heritage assets 
August – Staffordshire Highways 
October – Design 
November – Refusal Reasons 
December – National Forest  
February – BNG 
March – GTAA 
</t>
  </si>
  <si>
    <t>Electric refuse vehcile trialed on a local round. The vehcile perfomred well, although reservations remain regarding the operational range of these vehicles if depolyed to more rural areas.</t>
  </si>
  <si>
    <t xml:space="preserve">Review completed and presented to both CMT and Pre-Cabinet. Decision taken to extend the operation of the existing fleet of mechanical pavemenent sweepers for a further 12-months minimimum. </t>
  </si>
  <si>
    <t>Fully achieved</t>
  </si>
  <si>
    <t>Baseline monitoring has continued throughout the year and data is now being incororated into the borough and wider county visitor ecomony STEAM reporting process.</t>
  </si>
  <si>
    <t>A compresenive review of various forms of way marking in and around Burton upon Trent has been completed. The results of this will be shared with members via a summary report, including the findings and suggested short, medium and long term improvements.</t>
  </si>
  <si>
    <t xml:space="preserve">Sarmer have worked in partnership with key stakeholders to develop the propoasls for the museum/ visitor experience for the High Street Project.  Their plans have been considered by councillors invovled in the scheme and will be formally considered in June by pre-cabinet. </t>
  </si>
  <si>
    <t>Surveys carried out Dec 23 - Mar 24 0%</t>
  </si>
  <si>
    <t>125.96kg (estimated as not all data received)</t>
  </si>
  <si>
    <t>35.33% (estimated as not all data received)</t>
  </si>
  <si>
    <t>503.40kg (estimated)</t>
  </si>
  <si>
    <t>42.56% (estimated)</t>
  </si>
  <si>
    <t>100%
11 Major apps received all within time</t>
  </si>
  <si>
    <t>88%
58 Minor apps received 51 received within time</t>
  </si>
  <si>
    <t>86%
117 Other apps received 101 within time</t>
  </si>
  <si>
    <t>No responses received for Quarter 4.</t>
  </si>
  <si>
    <t>Currently preparing to procure a contract for roof repair works at the Brewhouse. This is a works contract, with multiple phases to be completed. Initially we will only be completing the phases that can be financially achieved within budget. Once the works has gone out to tender an updated project timeline will be provided outlining key project milestones.</t>
  </si>
  <si>
    <t>Achieved in Quarter 2</t>
  </si>
  <si>
    <t>Achieved in Quarter 3</t>
  </si>
  <si>
    <t>Outturn figure needs to be checked against the LG data when available.</t>
  </si>
  <si>
    <t xml:space="preserve">Community Energy Options report presented and the progression of a Solar Community Energy Project has been approved by Cabinet in March. </t>
  </si>
  <si>
    <t xml:space="preserve">25 properties have received energy efficiency measures at an average cost of £70 per property. A budget carry forward has been requested to continue delivery in 24/25 </t>
  </si>
  <si>
    <t xml:space="preserve">Revised Air Quality Action plan and Strategy presented to Cabinet and recommendations made for the revocation of the smaller AQMA which was approved in March. </t>
  </si>
  <si>
    <t xml:space="preserve">Timescales reviewed for 22/23 and reported to Scrutiny. </t>
  </si>
  <si>
    <t xml:space="preserve">Energy audits have been completed and a report provided for recommendation energy efficiency measures to be taken forward to form a heat decarbonisation plan </t>
  </si>
  <si>
    <t>This has been incorporated in to the ongoing climate change communicaions plans</t>
  </si>
  <si>
    <t>Three Community Kitchens have been opened, one of which operates from existing council facilities.</t>
  </si>
  <si>
    <t xml:space="preserve">The funding opportunity was actively promoted to community groups, including those operating from existing council facilities, for circa 4 months. </t>
  </si>
  <si>
    <t>An Empty Homes update identifying the reduction was included in Member Briefing Issue 765 - Friday 2 Feb 2024.</t>
  </si>
  <si>
    <t>There were 124 initial decisions over the period, with 71 days from interview to decision resulting in an average of 0.57 days to initial decision.</t>
  </si>
  <si>
    <t>There has been 9 'key to key' instances across 7 properties, giving a total of 37 days and an average of 4.1 working days void.</t>
  </si>
  <si>
    <t>2.6 days</t>
  </si>
  <si>
    <t>56 out of 67 removed within 5 days (84%)</t>
  </si>
  <si>
    <t>Acheived - prior year outstanding debt £2,470,549.62. Untraceable debts wll be passed to Jacobs enforcement agency to undate contact details against national database and provide a propensity to pay report. They will then be instructed to recoverthese debts on a non-enforceable (non-bailiff) approach. This has a potential to return 15% of the remaining debt over 2 years old.</t>
  </si>
  <si>
    <t>98.85% in year (actuals 2023/24 Ctax/NDR collection tables)</t>
  </si>
  <si>
    <t>In year collection is 96.34% (actuals 2023/24 Ctax/NDR collection tables)</t>
  </si>
  <si>
    <t>Former years arrears that are recoverable total £882,823.10 from nr7060 report at year end actuals.</t>
  </si>
  <si>
    <t>86.71% - this was 93.4% until the end of February but due to a glitch in the Capita system which creates conflicts with DWP data we were not able to secure some of the arrangements in the financial year - the arrangements are now in place.</t>
  </si>
  <si>
    <t>We are in the process of migrating to a new approach to recovery of these debts, with greater emphisis on automated recovery. Whilst this is being rolled out and tested we are finding issues which is skewing the reporting recovered figures. For example debts are sent to DWP for recovery - show are collected immediately - but the values of money received does not match. The process for recording these incidents is being tested alongside the rol out.</t>
  </si>
  <si>
    <t>Completed in Quarter 3.</t>
  </si>
  <si>
    <t>Completed in Quarter 3</t>
  </si>
  <si>
    <t xml:space="preserve">The implementation of a Citizens Jury has been included in the draft Communications, Engagement and Consultation Strategy approved at the October Cabinet meeting, ahead of the specific details of the approach being modelled moving forward. 
A report introducing the proposed model was noted by Cabinet in March 2024 in line with the Corporate Plan target, </t>
  </si>
  <si>
    <t xml:space="preserve">6 Business Engagement events have been held: Café Zen Burton, the Leek Building Society Uttoxeter, Queen Street Community Centre Burton, Malone Group Offices Centrum 100 and Tutbury Tea Rooms </t>
  </si>
  <si>
    <t xml:space="preserve">The College have completed their project and the Centre was officially launced in March as planned. Work on the canal project began in November starting in a Northerly direction from Branston.  No sigficiant issues. have been identified. </t>
  </si>
  <si>
    <t xml:space="preserve">We have now relocated the Visitor Centre so it is no longer attached to the Water Tower. We have received a report detaiing the current layputs which have been developed closely with ESBC and SWT.  </t>
  </si>
  <si>
    <t xml:space="preserve">This programme has receieved a large number of applications.  Monthly panel meetings have been held since the launch with the maximum 4 bids reviewed at most meetings highlighting the popularity of the scheme.  </t>
  </si>
  <si>
    <t xml:space="preserve"> We continue to work in preparation of accessing external funding with the development of the hIgh Street campus. We have continued to work to secure external funding incluidng  securing funds from LEP legacy funding. We are also working with Amion to submit a Heritage Lottery Fund bid.</t>
  </si>
  <si>
    <t>If a suitable topic arises where the use of a Citizens’ Jury would be beneficial, this model outlined would be implemented as per follow-on target included in the 2024/25 Corporate Plan (ILD13)</t>
  </si>
  <si>
    <t>A review of outdoor sports provision in Uttoxeter, including the proposed Sports Hub and other potential outdoor sports sites, has been undertaken in line with the Corporate Plan Target and presented to Cabinet in March 2024, 5.7.1. This report indicates that across Uttoxeter there are opportunities to improve and develop the existing facilities in place for outdoor sports provision with a range of receommendations being approved.</t>
  </si>
  <si>
    <t>A report detailing the "Review of Updated Playing Pitch Strategy and Built Indoor Facilities Strategy 2023/24" was presented to Cabinet in March 2024, with the recommendations (to update the Open Spaces and Playing Pitches Supplementary Planning  Document and Planning Obligations Supplementary Planning Document; and to use the reports to inform the annual review of the Local Plan and forward on at an appropriate time to the Development Plan Committee) being approved.</t>
  </si>
  <si>
    <t>Quarterly Performance information presented to Corporate Management Team, Pre-Cabinet, LAG / LOAG, Cabinet during February / March and at the corresponding Scrutiny Committee meetings</t>
  </si>
  <si>
    <t xml:space="preserve">The Better Health Staffordshire East Staffordshire group continue to met on a quarterly basis. Three key themes have been identified within East Staffordshire, all with igh-level actions (Food, Physical Activity, Environment). 
East Staffordshire Partnership meetings are held quarterly, chaired by the Council’s Corporate 
and Commercial Manager. As a result, there is now a whole range of projects being developed, During February, East Staffordshire held its first ‘live’ Food themed Event at Meadowside Leisure Centre, titled Food For Thought. Attendees included Borough Councillors, local stakeholders, community based organisations and projects, all there to discuss and share their views on accessible Healthy Food provision within East Staffordshire. </t>
  </si>
  <si>
    <t xml:space="preserve">Unable to provide a percentage within year due to system reporting capabilties. However the value recovered in Q4 was up to £240,503.49 and increase from Q3 value of £125,096.66. This is due to the capacity to recover via the DWP (direct benefit recovery) and write off of unrecoverable debts. We are m,arking this as acheived based on this swell of receovery methods and returns seen as a result.
</t>
  </si>
  <si>
    <t>Parks Development update provided in Members briefing March 2024.</t>
  </si>
  <si>
    <t>Summary of contractor performance provided in the Parks Development Plan update</t>
  </si>
  <si>
    <t>All deployments completed. A report was provided in November 2023</t>
  </si>
  <si>
    <t>4 initiatives underaken in the Shobnall and Angelsey Wards</t>
  </si>
  <si>
    <t>9 days avarage time to pay creditors</t>
  </si>
  <si>
    <t>Average time to pay creditors target of 10 days achieved. A report is being developed to measure the number of Pos that are in place against invoices.  Should be available by 27/04.</t>
  </si>
  <si>
    <t>Completed in Quarter Two.</t>
  </si>
  <si>
    <t>Completed in Quarter Three.</t>
  </si>
  <si>
    <t>Completed in Quarter Two.J9:O9+O7</t>
  </si>
  <si>
    <t>Completed in Quarter two</t>
  </si>
  <si>
    <t>Completed in quarter three</t>
  </si>
  <si>
    <t>Completed in quarter one</t>
  </si>
  <si>
    <t>Achieved Quarter 3</t>
  </si>
  <si>
    <t>Update report due in Janurary Q4</t>
  </si>
  <si>
    <t>Achieved Quarter 1</t>
  </si>
  <si>
    <t>Completed in quarter 3</t>
  </si>
  <si>
    <t>In relation to DFGs the timescales have reduced from 240 in 22/23 to 214 in 23/24 for cases that have been assessed by our own OT provider and works undertaken by our own contractors.</t>
  </si>
  <si>
    <t>6 business news letters distributed relating to news relevant to the 2023/24 financial year</t>
  </si>
  <si>
    <t>minimum of 6 business letters scheduled for 2024/25 financial year</t>
  </si>
  <si>
    <t>Overall 93%
210 Minor apps received 196 within time
To achieve top quartile based on 2022/23 figures, performance would need to be 95% or above</t>
  </si>
  <si>
    <t>Overall 92%
517 Other apps received 474 within time
To achieve top quartile based on 2022/23 figures, performance would need to be 96% or above</t>
  </si>
  <si>
    <t>100%
39 Major apps received all within time
To achieve top quartile based on 2022/23 figures, performance would need to be 100%.</t>
  </si>
  <si>
    <t>Update due end of WC 06/05</t>
  </si>
  <si>
    <t>Others</t>
  </si>
  <si>
    <t>All cameras have been installed. However cameras in the High Street and The Market Place, Uttoxeter, are not connected. Given the siting of these cameras further applications have been required: structural and electrical tests alongside certificates. Officers are in regular contact with Eon to continue progressing this.</t>
  </si>
  <si>
    <t>3.28 days</t>
  </si>
  <si>
    <t>Completed in Quarter four</t>
  </si>
  <si>
    <t xml:space="preserve">The National Archive Centre Opened in October 2023 after work was completed in July 2023. The delay was caused by the transfer of the collection taking longer than anticipated, leading to a delay in the set-up of the National Archive Centre
</t>
  </si>
  <si>
    <t>The Temporary National Archive Centre and Regen hub is now open as of October 2023 after work was completed in July 2023. The delay was caused by the transfer of the collection taking longer than anticipated, leading to a delay in the set-up of the National Archive Centre. Members of the Enterprise Team man the hub on three mornings a week. There is usually a good flow of the public with interest across a range of areas but particularly with the High Street Project.  There is information provided from the Brew House showcasing their upcoming events, and details on the other Towns Fund projects notably BSDC and the Canal and River Trust. The National Brewery Heritage Trust are also now based at the Hub.</t>
  </si>
  <si>
    <t xml:space="preserve">Additional briefing took place on 15th April, which had initially also been planned for the 2023-24 year but was not possible due to finding a suitable date within the committee timetable when the majority of members would be available. </t>
  </si>
  <si>
    <t xml:space="preserve">Two briefings have been held; on 10th July 2023 and on 7th December 2023. </t>
  </si>
  <si>
    <t>quartile positions based on 2022/23 figures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</si>
</sst>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8" formatCode="&quot;£&quot;#,##0.00;[Red]\-&quot;£&quot;#,##0.00"/>
    <numFmt numFmtId="164" formatCode="mmm\ yyyy"/>
    <numFmt numFmtId="165" formatCode="&quot;£&quot;#,##0.00"/>
    <numFmt numFmtId="166" formatCode="mmmm\ yyyy"/>
  </numFmts>
  <fonts count="65">
    <font>
      <sz val="11"/>
      <color theme="1"/>
      <name val="Calibri"/>
      <family val="2"/>
      <scheme val="minor"/>
    </font>
    <font>
      <sz val="12"/>
      <color theme="1"/>
      <name val="Arial"/>
      <family val="2"/>
    </font>
    <font>
      <sz val="12"/>
      <color theme="1"/>
      <name val="Arial"/>
      <family val="2"/>
    </font>
    <font>
      <sz val="11"/>
      <color theme="0"/>
      <name val="Calibri"/>
      <family val="2"/>
      <scheme val="minor"/>
    </font>
    <font>
      <b/>
      <sz val="12"/>
      <color theme="1"/>
      <name val="Arial"/>
      <family val="2"/>
    </font>
    <font>
      <b/>
      <sz val="12"/>
      <color rgb="FF000000"/>
      <name val="Arial"/>
      <family val="2"/>
    </font>
    <font>
      <b/>
      <sz val="12"/>
      <color theme="0"/>
      <name val="Arial"/>
      <family val="2"/>
    </font>
    <font>
      <b/>
      <sz val="12"/>
      <name val="Arial"/>
      <family val="2"/>
    </font>
    <font>
      <sz val="12"/>
      <color theme="1"/>
      <name val="Calibri"/>
      <family val="2"/>
      <scheme val="minor"/>
    </font>
    <font>
      <sz val="11"/>
      <name val="Calibri"/>
      <family val="2"/>
      <scheme val="minor"/>
    </font>
    <font>
      <sz val="12"/>
      <name val="Arial"/>
      <family val="2"/>
    </font>
    <font>
      <sz val="12"/>
      <color rgb="FF000000"/>
      <name val="Arial"/>
      <family val="2"/>
    </font>
    <font>
      <sz val="12"/>
      <color theme="1"/>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u/>
      <sz val="28"/>
      <name val="Arial"/>
      <family val="2"/>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i/>
      <sz val="12"/>
      <color rgb="FF000000"/>
      <name val="Arial"/>
      <family val="2"/>
    </font>
    <font>
      <sz val="12"/>
      <color rgb="FFFF0000"/>
      <name val="Arial"/>
      <family val="2"/>
    </font>
    <font>
      <b/>
      <sz val="16"/>
      <color theme="1"/>
      <name val="Calibri"/>
      <family val="2"/>
      <scheme val="minor"/>
    </font>
    <font>
      <i/>
      <sz val="12"/>
      <name val="Arial"/>
      <family val="2"/>
    </font>
    <font>
      <sz val="11"/>
      <color theme="1"/>
      <name val="Calibri"/>
      <family val="2"/>
      <scheme val="minor"/>
    </font>
    <font>
      <b/>
      <sz val="11"/>
      <color rgb="FFFFFFFF"/>
      <name val="Arial"/>
      <family val="2"/>
    </font>
    <font>
      <b/>
      <sz val="11"/>
      <color rgb="FF000000"/>
      <name val="Arial"/>
      <family val="2"/>
    </font>
    <font>
      <b/>
      <sz val="9"/>
      <color indexed="81"/>
      <name val="Tahoma"/>
      <family val="2"/>
    </font>
    <font>
      <sz val="9"/>
      <color indexed="81"/>
      <name val="Tahoma"/>
      <family val="2"/>
    </font>
    <font>
      <sz val="14"/>
      <color theme="1"/>
      <name val="Arial"/>
      <family val="2"/>
    </font>
  </fonts>
  <fills count="30">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rgb="FF002060"/>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00863D"/>
        <bgColor indexed="64"/>
      </patternFill>
    </fill>
    <fill>
      <patternFill patternType="solid">
        <fgColor rgb="FF009900"/>
        <bgColor indexed="64"/>
      </patternFill>
    </fill>
    <fill>
      <patternFill patternType="solid">
        <fgColor theme="9" tint="0.59999389629810485"/>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
      <patternFill patternType="solid">
        <fgColor rgb="FFD6DCE4"/>
        <bgColor indexed="64"/>
      </patternFill>
    </fill>
    <fill>
      <patternFill patternType="solid">
        <fgColor rgb="FFEDEDED"/>
        <bgColor indexed="64"/>
      </patternFill>
    </fill>
    <fill>
      <patternFill patternType="solid">
        <fgColor rgb="FF002060"/>
        <bgColor rgb="FF000000"/>
      </patternFill>
    </fill>
    <fill>
      <patternFill patternType="solid">
        <fgColor theme="8" tint="-0.249977111117893"/>
        <bgColor indexed="64"/>
      </patternFill>
    </fill>
    <fill>
      <patternFill patternType="solid">
        <fgColor rgb="FF525252"/>
        <bgColor rgb="FF000000"/>
      </patternFill>
    </fill>
    <fill>
      <patternFill patternType="solid">
        <fgColor theme="0" tint="-0.34998626667073579"/>
        <bgColor indexed="64"/>
      </patternFill>
    </fill>
    <fill>
      <patternFill patternType="solid">
        <fgColor theme="5"/>
        <bgColor rgb="FF000000"/>
      </patternFill>
    </fill>
    <fill>
      <patternFill patternType="solid">
        <fgColor theme="5" tint="0.79998168889431442"/>
        <bgColor rgb="FF000000"/>
      </patternFill>
    </fill>
    <fill>
      <patternFill patternType="solid">
        <fgColor theme="5" tint="-0.249977111117893"/>
        <bgColor indexed="64"/>
      </patternFill>
    </fill>
    <fill>
      <patternFill patternType="solid">
        <fgColor rgb="FFFFFF00"/>
        <bgColor indexed="64"/>
      </patternFill>
    </fill>
  </fills>
  <borders count="70">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medium">
        <color theme="0"/>
      </left>
      <right style="medium">
        <color theme="0"/>
      </right>
      <top style="medium">
        <color theme="0"/>
      </top>
      <bottom style="medium">
        <color theme="0"/>
      </bottom>
      <diagonal/>
    </border>
    <border>
      <left/>
      <right style="medium">
        <color rgb="FFFFFFFF"/>
      </right>
      <top/>
      <bottom style="medium">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thin">
        <color theme="0"/>
      </left>
      <right/>
      <top/>
      <bottom/>
      <diagonal/>
    </border>
    <border>
      <left/>
      <right style="thin">
        <color theme="0"/>
      </right>
      <top/>
      <bottom/>
      <diagonal/>
    </border>
  </borders>
  <cellStyleXfs count="4">
    <xf numFmtId="0" fontId="0" fillId="0" borderId="0"/>
    <xf numFmtId="0" fontId="20" fillId="0" borderId="0" applyNumberFormat="0" applyFill="0" applyBorder="0" applyAlignment="0" applyProtection="0">
      <alignment vertical="top"/>
      <protection locked="0"/>
    </xf>
    <xf numFmtId="0" fontId="41" fillId="0" borderId="0"/>
    <xf numFmtId="9" fontId="59" fillId="0" borderId="0" applyFont="0" applyFill="0" applyBorder="0" applyAlignment="0" applyProtection="0"/>
  </cellStyleXfs>
  <cellXfs count="455">
    <xf numFmtId="0" fontId="0" fillId="0" borderId="0" xfId="0"/>
    <xf numFmtId="0" fontId="13" fillId="5" borderId="0" xfId="0" applyFont="1" applyFill="1" applyBorder="1" applyAlignment="1">
      <alignment vertical="center" wrapText="1"/>
    </xf>
    <xf numFmtId="0" fontId="12" fillId="6" borderId="0" xfId="0" applyFont="1" applyFill="1" applyAlignment="1" applyProtection="1">
      <alignment horizontal="center" vertical="center"/>
    </xf>
    <xf numFmtId="10" fontId="20" fillId="6" borderId="0" xfId="1" applyNumberFormat="1" applyFill="1" applyBorder="1" applyAlignment="1" applyProtection="1">
      <alignment horizontal="center" vertical="center"/>
    </xf>
    <xf numFmtId="0" fontId="0" fillId="0" borderId="0" xfId="0" applyAlignment="1">
      <alignment vertical="center"/>
    </xf>
    <xf numFmtId="0" fontId="27" fillId="13" borderId="0" xfId="0" applyFont="1" applyFill="1"/>
    <xf numFmtId="0" fontId="22" fillId="13" borderId="0" xfId="0" applyFont="1" applyFill="1"/>
    <xf numFmtId="0" fontId="24" fillId="13" borderId="0" xfId="1" applyFont="1" applyFill="1" applyBorder="1" applyAlignment="1" applyProtection="1">
      <alignment horizontal="left"/>
    </xf>
    <xf numFmtId="0" fontId="3" fillId="13" borderId="0" xfId="0" applyFont="1" applyFill="1"/>
    <xf numFmtId="0" fontId="14" fillId="13" borderId="0" xfId="0" applyFont="1" applyFill="1"/>
    <xf numFmtId="0" fontId="24" fillId="13" borderId="0" xfId="1" applyFont="1" applyFill="1" applyBorder="1" applyAlignment="1" applyProtection="1">
      <alignment horizontal="center"/>
    </xf>
    <xf numFmtId="9" fontId="3" fillId="13" borderId="0" xfId="0" applyNumberFormat="1" applyFont="1" applyFill="1"/>
    <xf numFmtId="9" fontId="14" fillId="13" borderId="0" xfId="0" applyNumberFormat="1" applyFont="1" applyFill="1"/>
    <xf numFmtId="10" fontId="14" fillId="13" borderId="0" xfId="0" applyNumberFormat="1" applyFont="1" applyFill="1" applyBorder="1" applyAlignment="1">
      <alignment horizontal="center" vertical="center"/>
    </xf>
    <xf numFmtId="0" fontId="26" fillId="13" borderId="0" xfId="0" applyFont="1" applyFill="1" applyBorder="1"/>
    <xf numFmtId="0" fontId="25" fillId="13" borderId="0" xfId="0" applyFont="1" applyFill="1"/>
    <xf numFmtId="0" fontId="28" fillId="13" borderId="0" xfId="0" applyFont="1" applyFill="1"/>
    <xf numFmtId="9" fontId="15" fillId="13" borderId="0" xfId="0" applyNumberFormat="1" applyFont="1" applyFill="1"/>
    <xf numFmtId="0" fontId="15" fillId="13" borderId="0" xfId="0" applyFont="1" applyFill="1" applyBorder="1"/>
    <xf numFmtId="9" fontId="29" fillId="13" borderId="6" xfId="0" applyNumberFormat="1" applyFont="1" applyFill="1" applyBorder="1" applyAlignment="1">
      <alignment horizontal="center"/>
    </xf>
    <xf numFmtId="0" fontId="29" fillId="13" borderId="6" xfId="0" applyFont="1" applyFill="1" applyBorder="1"/>
    <xf numFmtId="10" fontId="15" fillId="13" borderId="6" xfId="0" applyNumberFormat="1" applyFont="1" applyFill="1" applyBorder="1" applyAlignment="1">
      <alignment horizontal="center" vertical="center"/>
    </xf>
    <xf numFmtId="9" fontId="29" fillId="13" borderId="0" xfId="0" applyNumberFormat="1" applyFont="1" applyFill="1" applyBorder="1" applyAlignment="1">
      <alignment horizontal="center"/>
    </xf>
    <xf numFmtId="0" fontId="30" fillId="13" borderId="0" xfId="0" applyFont="1" applyFill="1" applyBorder="1"/>
    <xf numFmtId="9" fontId="15" fillId="13" borderId="0" xfId="0" applyNumberFormat="1" applyFont="1" applyFill="1" applyBorder="1" applyAlignment="1">
      <alignment horizontal="center" vertical="center"/>
    </xf>
    <xf numFmtId="9" fontId="15" fillId="13" borderId="0" xfId="0" applyNumberFormat="1" applyFont="1" applyFill="1" applyBorder="1"/>
    <xf numFmtId="0" fontId="15" fillId="13" borderId="0" xfId="0" applyFont="1" applyFill="1"/>
    <xf numFmtId="9" fontId="29" fillId="13" borderId="0" xfId="0" applyNumberFormat="1" applyFont="1" applyFill="1"/>
    <xf numFmtId="0" fontId="29" fillId="13" borderId="0" xfId="0" applyFont="1" applyFill="1" applyBorder="1"/>
    <xf numFmtId="9" fontId="20" fillId="6" borderId="0" xfId="1" applyNumberFormat="1" applyFill="1" applyBorder="1" applyAlignment="1" applyProtection="1">
      <alignment horizontal="center" vertical="center"/>
    </xf>
    <xf numFmtId="0" fontId="0" fillId="6" borderId="0" xfId="0" applyFill="1" applyAlignment="1">
      <alignment vertical="center"/>
    </xf>
    <xf numFmtId="0" fontId="31" fillId="6" borderId="0" xfId="1" applyFont="1" applyFill="1" applyBorder="1" applyAlignment="1" applyProtection="1">
      <alignment horizontal="center" vertical="center"/>
    </xf>
    <xf numFmtId="9" fontId="0" fillId="6" borderId="0" xfId="0" applyNumberFormat="1" applyFill="1" applyAlignment="1">
      <alignment vertical="center"/>
    </xf>
    <xf numFmtId="0" fontId="34" fillId="6" borderId="26" xfId="0" applyFont="1" applyFill="1" applyBorder="1" applyAlignment="1">
      <alignment horizontal="center" vertical="center" wrapText="1"/>
    </xf>
    <xf numFmtId="9" fontId="34" fillId="6" borderId="26" xfId="0" applyNumberFormat="1" applyFont="1" applyFill="1" applyBorder="1" applyAlignment="1">
      <alignment horizontal="center" vertical="center" wrapText="1"/>
    </xf>
    <xf numFmtId="0" fontId="34" fillId="6" borderId="27" xfId="0" applyFont="1" applyFill="1" applyBorder="1" applyAlignment="1">
      <alignment horizontal="center" vertical="center" wrapText="1"/>
    </xf>
    <xf numFmtId="10" fontId="34" fillId="6" borderId="28" xfId="0" applyNumberFormat="1" applyFont="1" applyFill="1" applyBorder="1" applyAlignment="1">
      <alignment horizontal="center" vertical="center" wrapText="1"/>
    </xf>
    <xf numFmtId="0" fontId="3" fillId="6" borderId="0" xfId="0" applyFont="1" applyFill="1" applyAlignment="1">
      <alignment vertical="center"/>
    </xf>
    <xf numFmtId="0" fontId="13" fillId="5" borderId="29" xfId="0" applyFont="1" applyFill="1" applyBorder="1" applyAlignment="1">
      <alignment vertical="center" wrapText="1"/>
    </xf>
    <xf numFmtId="9" fontId="13" fillId="5" borderId="0" xfId="0" applyNumberFormat="1" applyFont="1" applyFill="1" applyBorder="1" applyAlignment="1">
      <alignment vertical="center" wrapText="1"/>
    </xf>
    <xf numFmtId="0" fontId="13" fillId="5" borderId="30" xfId="0" applyFont="1" applyFill="1" applyBorder="1" applyAlignment="1">
      <alignment vertical="center" wrapText="1"/>
    </xf>
    <xf numFmtId="0" fontId="3" fillId="0" borderId="0" xfId="0" applyFont="1" applyAlignment="1">
      <alignment vertical="center"/>
    </xf>
    <xf numFmtId="0" fontId="9" fillId="6" borderId="0" xfId="0" applyFont="1" applyFill="1" applyAlignment="1">
      <alignment vertical="center"/>
    </xf>
    <xf numFmtId="0" fontId="35" fillId="6" borderId="31" xfId="0" applyFont="1" applyFill="1" applyBorder="1" applyAlignment="1">
      <alignment horizontal="right" vertical="center" wrapText="1"/>
    </xf>
    <xf numFmtId="0" fontId="36" fillId="6" borderId="26" xfId="0" applyFont="1" applyFill="1" applyBorder="1" applyAlignment="1">
      <alignment horizontal="center" vertical="center" wrapText="1"/>
    </xf>
    <xf numFmtId="10" fontId="34" fillId="6" borderId="26" xfId="0" applyNumberFormat="1" applyFont="1" applyFill="1" applyBorder="1" applyAlignment="1">
      <alignment horizontal="center" vertical="center" wrapText="1"/>
    </xf>
    <xf numFmtId="0" fontId="36" fillId="6" borderId="27" xfId="0" applyFont="1" applyFill="1" applyBorder="1" applyAlignment="1">
      <alignment horizontal="center" vertical="center" wrapText="1"/>
    </xf>
    <xf numFmtId="0" fontId="9" fillId="0" borderId="0" xfId="0" applyFont="1" applyAlignment="1">
      <alignment vertical="center"/>
    </xf>
    <xf numFmtId="0" fontId="13" fillId="5" borderId="29" xfId="0" applyFont="1" applyFill="1" applyBorder="1" applyAlignment="1">
      <alignment horizontal="left" vertical="center" wrapText="1"/>
    </xf>
    <xf numFmtId="0" fontId="34" fillId="5" borderId="0" xfId="0" applyFont="1" applyFill="1" applyBorder="1" applyAlignment="1">
      <alignment vertical="center" wrapText="1"/>
    </xf>
    <xf numFmtId="10" fontId="34" fillId="5" borderId="0" xfId="0" applyNumberFormat="1" applyFont="1" applyFill="1" applyBorder="1" applyAlignment="1">
      <alignment vertical="center" wrapText="1"/>
    </xf>
    <xf numFmtId="10" fontId="34" fillId="5" borderId="30" xfId="0" applyNumberFormat="1" applyFont="1" applyFill="1" applyBorder="1" applyAlignment="1">
      <alignment vertical="center" wrapText="1"/>
    </xf>
    <xf numFmtId="1" fontId="36" fillId="6" borderId="32" xfId="0" applyNumberFormat="1" applyFont="1" applyFill="1" applyBorder="1" applyAlignment="1">
      <alignment horizontal="center" vertical="center" wrapText="1"/>
    </xf>
    <xf numFmtId="9" fontId="0" fillId="0" borderId="0" xfId="0" applyNumberFormat="1" applyAlignment="1">
      <alignment vertical="center"/>
    </xf>
    <xf numFmtId="0" fontId="34" fillId="6" borderId="34" xfId="0" applyFont="1" applyFill="1" applyBorder="1" applyAlignment="1">
      <alignment horizontal="center" vertical="center" wrapText="1"/>
    </xf>
    <xf numFmtId="10" fontId="34" fillId="6" borderId="34" xfId="0" applyNumberFormat="1" applyFont="1" applyFill="1" applyBorder="1" applyAlignment="1">
      <alignment horizontal="center" vertical="center" wrapText="1"/>
    </xf>
    <xf numFmtId="0" fontId="36" fillId="6" borderId="35" xfId="0" applyFont="1" applyFill="1" applyBorder="1" applyAlignment="1">
      <alignment horizontal="center" vertical="center" wrapText="1"/>
    </xf>
    <xf numFmtId="10" fontId="34" fillId="6" borderId="35" xfId="0" applyNumberFormat="1" applyFont="1" applyFill="1" applyBorder="1" applyAlignment="1">
      <alignment horizontal="center" vertical="center" wrapText="1"/>
    </xf>
    <xf numFmtId="0" fontId="12" fillId="6" borderId="0" xfId="0" applyFont="1" applyFill="1" applyBorder="1" applyAlignment="1" applyProtection="1">
      <alignment horizontal="center" vertical="center"/>
    </xf>
    <xf numFmtId="0" fontId="35" fillId="0" borderId="33" xfId="0" applyFont="1" applyFill="1" applyBorder="1" applyAlignment="1">
      <alignment horizontal="right" vertical="center" wrapText="1"/>
    </xf>
    <xf numFmtId="0" fontId="36" fillId="0" borderId="26" xfId="0" applyFont="1" applyFill="1" applyBorder="1" applyAlignment="1">
      <alignment horizontal="center" vertical="center" wrapText="1"/>
    </xf>
    <xf numFmtId="10" fontId="34" fillId="0" borderId="26" xfId="0" applyNumberFormat="1" applyFont="1" applyFill="1" applyBorder="1" applyAlignment="1">
      <alignment horizontal="center" vertical="center" wrapText="1"/>
    </xf>
    <xf numFmtId="1" fontId="36" fillId="0" borderId="32" xfId="0" applyNumberFormat="1" applyFont="1" applyFill="1" applyBorder="1" applyAlignment="1">
      <alignment horizontal="center" vertical="center" wrapText="1"/>
    </xf>
    <xf numFmtId="10" fontId="34" fillId="0" borderId="28" xfId="0" applyNumberFormat="1" applyFont="1" applyFill="1" applyBorder="1" applyAlignment="1">
      <alignment horizontal="center" vertical="center" wrapText="1"/>
    </xf>
    <xf numFmtId="0" fontId="36" fillId="0" borderId="35" xfId="0" applyFont="1" applyFill="1" applyBorder="1" applyAlignment="1">
      <alignment horizontal="center" vertical="center" wrapText="1"/>
    </xf>
    <xf numFmtId="10" fontId="34" fillId="0" borderId="35" xfId="0" applyNumberFormat="1" applyFont="1" applyFill="1" applyBorder="1" applyAlignment="1">
      <alignment horizontal="center" vertical="center" wrapText="1"/>
    </xf>
    <xf numFmtId="0" fontId="36" fillId="0" borderId="32" xfId="0" applyFont="1" applyFill="1" applyBorder="1" applyAlignment="1">
      <alignment horizontal="center" vertical="center" wrapText="1"/>
    </xf>
    <xf numFmtId="0" fontId="22" fillId="16" borderId="0" xfId="0" applyFont="1" applyFill="1"/>
    <xf numFmtId="0" fontId="3" fillId="16" borderId="0" xfId="0" applyFont="1" applyFill="1"/>
    <xf numFmtId="0" fontId="14" fillId="16" borderId="0" xfId="0" applyFont="1" applyFill="1"/>
    <xf numFmtId="0" fontId="24" fillId="16" borderId="0" xfId="1" applyFont="1" applyFill="1" applyBorder="1" applyAlignment="1" applyProtection="1">
      <alignment horizontal="center"/>
    </xf>
    <xf numFmtId="10" fontId="14" fillId="16" borderId="0" xfId="0" applyNumberFormat="1" applyFont="1" applyFill="1" applyBorder="1" applyAlignment="1">
      <alignment horizontal="center" vertical="center"/>
    </xf>
    <xf numFmtId="0" fontId="25" fillId="16" borderId="0" xfId="0" applyFont="1" applyFill="1"/>
    <xf numFmtId="0" fontId="37" fillId="16" borderId="0" xfId="0" applyFont="1" applyFill="1"/>
    <xf numFmtId="0" fontId="9" fillId="16" borderId="0" xfId="0" applyFont="1" applyFill="1"/>
    <xf numFmtId="0" fontId="28" fillId="16" borderId="0" xfId="0" applyFont="1" applyFill="1"/>
    <xf numFmtId="0" fontId="15" fillId="16" borderId="0" xfId="0" applyFont="1" applyFill="1"/>
    <xf numFmtId="0" fontId="15" fillId="16" borderId="0" xfId="0" applyFont="1" applyFill="1" applyBorder="1"/>
    <xf numFmtId="0" fontId="29" fillId="16" borderId="6" xfId="0" applyFont="1" applyFill="1" applyBorder="1" applyAlignment="1">
      <alignment horizontal="center"/>
    </xf>
    <xf numFmtId="0" fontId="29" fillId="16" borderId="6" xfId="0" applyFont="1" applyFill="1" applyBorder="1"/>
    <xf numFmtId="10" fontId="15" fillId="16" borderId="6" xfId="0" applyNumberFormat="1" applyFont="1" applyFill="1" applyBorder="1" applyAlignment="1">
      <alignment horizontal="center" vertical="center"/>
    </xf>
    <xf numFmtId="0" fontId="29" fillId="16" borderId="0" xfId="0" applyFont="1" applyFill="1" applyBorder="1" applyAlignment="1">
      <alignment horizontal="center"/>
    </xf>
    <xf numFmtId="0" fontId="30" fillId="16" borderId="0" xfId="0" applyFont="1" applyFill="1" applyBorder="1"/>
    <xf numFmtId="10" fontId="15" fillId="16" borderId="0" xfId="0" applyNumberFormat="1" applyFont="1" applyFill="1" applyBorder="1" applyAlignment="1">
      <alignment horizontal="center" vertical="center"/>
    </xf>
    <xf numFmtId="0" fontId="29" fillId="16" borderId="0" xfId="0" applyFont="1" applyFill="1"/>
    <xf numFmtId="0" fontId="29" fillId="16" borderId="0" xfId="0" applyFont="1" applyFill="1" applyBorder="1"/>
    <xf numFmtId="0" fontId="9" fillId="16" borderId="0" xfId="0" applyFont="1" applyFill="1" applyBorder="1"/>
    <xf numFmtId="0" fontId="3" fillId="16" borderId="0" xfId="0" applyFont="1" applyFill="1" applyBorder="1"/>
    <xf numFmtId="0" fontId="28" fillId="16" borderId="0" xfId="0" applyFont="1" applyFill="1" applyBorder="1"/>
    <xf numFmtId="0" fontId="38" fillId="0" borderId="0" xfId="1" applyFont="1" applyFill="1" applyBorder="1" applyAlignment="1" applyProtection="1">
      <alignment horizontal="left"/>
    </xf>
    <xf numFmtId="0" fontId="39" fillId="6" borderId="0" xfId="0" applyFont="1" applyFill="1" applyProtection="1"/>
    <xf numFmtId="0" fontId="39" fillId="6" borderId="0" xfId="0" applyFont="1" applyFill="1" applyAlignment="1" applyProtection="1">
      <alignment horizontal="left" vertical="top" wrapText="1"/>
    </xf>
    <xf numFmtId="0" fontId="42" fillId="6" borderId="0" xfId="0" applyFont="1" applyFill="1" applyProtection="1"/>
    <xf numFmtId="0" fontId="42" fillId="0" borderId="0" xfId="0" applyFont="1" applyProtection="1"/>
    <xf numFmtId="0" fontId="12" fillId="6" borderId="0" xfId="0" applyFont="1" applyFill="1" applyBorder="1" applyAlignment="1" applyProtection="1">
      <alignment horizontal="center" vertical="center" wrapText="1"/>
    </xf>
    <xf numFmtId="1" fontId="6" fillId="14" borderId="6" xfId="0" applyNumberFormat="1" applyFont="1" applyFill="1" applyBorder="1" applyAlignment="1" applyProtection="1">
      <alignment horizontal="center" vertical="center" wrapText="1"/>
    </xf>
    <xf numFmtId="0" fontId="44" fillId="6" borderId="6" xfId="0" applyFont="1" applyFill="1" applyBorder="1" applyAlignment="1" applyProtection="1">
      <alignment horizontal="center" vertical="center" wrapText="1"/>
    </xf>
    <xf numFmtId="0" fontId="45" fillId="6" borderId="6" xfId="0" applyFont="1" applyFill="1" applyBorder="1" applyAlignment="1" applyProtection="1">
      <alignment horizontal="center" vertical="center"/>
    </xf>
    <xf numFmtId="0" fontId="0" fillId="6" borderId="0" xfId="0" applyFill="1" applyProtection="1"/>
    <xf numFmtId="0" fontId="46" fillId="6" borderId="42" xfId="0" applyFont="1" applyFill="1" applyBorder="1" applyAlignment="1" applyProtection="1">
      <alignment horizontal="center" vertical="center" wrapText="1"/>
    </xf>
    <xf numFmtId="0" fontId="0" fillId="0" borderId="0" xfId="0" applyProtection="1"/>
    <xf numFmtId="0" fontId="47" fillId="6" borderId="0" xfId="0" applyFont="1" applyFill="1" applyProtection="1"/>
    <xf numFmtId="0" fontId="45" fillId="0" borderId="6" xfId="0" applyFont="1" applyFill="1" applyBorder="1" applyAlignment="1" applyProtection="1">
      <alignment horizontal="center" vertical="center"/>
    </xf>
    <xf numFmtId="0" fontId="44" fillId="6" borderId="42" xfId="0" applyFont="1" applyFill="1" applyBorder="1" applyAlignment="1" applyProtection="1">
      <alignment horizontal="center" vertical="center" wrapText="1"/>
    </xf>
    <xf numFmtId="0" fontId="48" fillId="6" borderId="0" xfId="0" applyFont="1" applyFill="1" applyAlignment="1" applyProtection="1">
      <alignment horizontal="center" vertical="center"/>
    </xf>
    <xf numFmtId="0" fontId="49" fillId="6" borderId="40" xfId="0" applyFont="1" applyFill="1" applyBorder="1" applyAlignment="1" applyProtection="1">
      <alignment horizontal="center" vertical="center"/>
    </xf>
    <xf numFmtId="0" fontId="19" fillId="6" borderId="0" xfId="0" applyFont="1" applyFill="1" applyBorder="1" applyAlignment="1" applyProtection="1">
      <alignment horizontal="left" vertical="top"/>
    </xf>
    <xf numFmtId="0" fontId="19" fillId="6" borderId="0" xfId="0" applyFont="1" applyFill="1" applyBorder="1" applyAlignment="1" applyProtection="1">
      <alignment horizontal="left" vertical="center"/>
    </xf>
    <xf numFmtId="0" fontId="19"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wrapText="1"/>
    </xf>
    <xf numFmtId="0" fontId="0" fillId="6" borderId="0" xfId="0" applyFill="1" applyBorder="1" applyAlignment="1" applyProtection="1">
      <alignment wrapText="1"/>
    </xf>
    <xf numFmtId="0" fontId="0" fillId="0" borderId="0" xfId="0" applyBorder="1" applyAlignment="1" applyProtection="1">
      <alignment wrapText="1"/>
    </xf>
    <xf numFmtId="0" fontId="45" fillId="6" borderId="9" xfId="0" applyFont="1" applyFill="1" applyBorder="1" applyAlignment="1" applyProtection="1">
      <alignment horizontal="center" vertical="center"/>
    </xf>
    <xf numFmtId="1" fontId="6" fillId="14" borderId="40" xfId="0" applyNumberFormat="1" applyFont="1" applyFill="1" applyBorder="1" applyAlignment="1" applyProtection="1">
      <alignment horizontal="center" vertical="center" wrapText="1"/>
    </xf>
    <xf numFmtId="0" fontId="50" fillId="0" borderId="43" xfId="0" applyFont="1" applyFill="1" applyBorder="1" applyAlignment="1" applyProtection="1">
      <alignment horizontal="center" vertical="center"/>
    </xf>
    <xf numFmtId="0" fontId="51" fillId="6" borderId="0" xfId="0" applyFont="1" applyFill="1" applyProtection="1"/>
    <xf numFmtId="0" fontId="51" fillId="0" borderId="0" xfId="0" applyFont="1" applyProtection="1"/>
    <xf numFmtId="0" fontId="6" fillId="6" borderId="0" xfId="0" applyFont="1" applyFill="1" applyBorder="1" applyAlignment="1" applyProtection="1">
      <alignment horizontal="left" vertical="top" wrapText="1"/>
    </xf>
    <xf numFmtId="0" fontId="6" fillId="6" borderId="0" xfId="0" applyFont="1" applyFill="1" applyBorder="1" applyAlignment="1" applyProtection="1">
      <alignment horizontal="center" vertical="center" wrapText="1"/>
    </xf>
    <xf numFmtId="0" fontId="6" fillId="6" borderId="0" xfId="0" applyFont="1" applyFill="1" applyBorder="1" applyAlignment="1" applyProtection="1">
      <alignment horizontal="left" vertical="center" wrapText="1"/>
    </xf>
    <xf numFmtId="0" fontId="52" fillId="6" borderId="0" xfId="0" applyFont="1" applyFill="1" applyBorder="1" applyAlignment="1" applyProtection="1">
      <alignment horizontal="center" vertical="center" wrapText="1"/>
    </xf>
    <xf numFmtId="0" fontId="50" fillId="0" borderId="7" xfId="0" applyFont="1" applyFill="1" applyBorder="1" applyAlignment="1" applyProtection="1">
      <alignment horizontal="center" vertical="center"/>
    </xf>
    <xf numFmtId="0" fontId="0" fillId="6" borderId="0" xfId="0" applyFill="1" applyAlignment="1" applyProtection="1">
      <alignment horizontal="left" vertical="top" wrapText="1"/>
    </xf>
    <xf numFmtId="0" fontId="0" fillId="0" borderId="0" xfId="0" applyAlignment="1" applyProtection="1">
      <alignment horizontal="left" vertical="top" wrapText="1"/>
    </xf>
    <xf numFmtId="17" fontId="43" fillId="19" borderId="40" xfId="0" applyNumberFormat="1" applyFont="1" applyFill="1" applyBorder="1" applyAlignment="1" applyProtection="1">
      <alignment horizontal="center" vertical="center" wrapText="1"/>
    </xf>
    <xf numFmtId="17" fontId="43" fillId="19" borderId="41" xfId="0" applyNumberFormat="1" applyFont="1" applyFill="1" applyBorder="1" applyAlignment="1" applyProtection="1">
      <alignment horizontal="center" vertical="center" wrapText="1"/>
    </xf>
    <xf numFmtId="17" fontId="43" fillId="19" borderId="6" xfId="0" applyNumberFormat="1" applyFont="1" applyFill="1" applyBorder="1" applyAlignment="1" applyProtection="1">
      <alignment horizontal="center" vertical="center" wrapText="1"/>
    </xf>
    <xf numFmtId="0" fontId="53" fillId="17" borderId="40" xfId="0" applyFont="1" applyFill="1" applyBorder="1" applyAlignment="1" applyProtection="1">
      <alignment horizontal="left" vertical="center" wrapText="1"/>
    </xf>
    <xf numFmtId="0" fontId="54" fillId="18" borderId="6" xfId="0" applyFont="1" applyFill="1" applyBorder="1" applyAlignment="1" applyProtection="1">
      <alignment horizontal="left" vertical="center" wrapText="1"/>
    </xf>
    <xf numFmtId="0" fontId="54" fillId="18" borderId="40" xfId="0" applyFont="1" applyFill="1" applyBorder="1" applyAlignment="1" applyProtection="1">
      <alignment horizontal="left" vertical="center" wrapText="1"/>
    </xf>
    <xf numFmtId="0" fontId="44" fillId="6" borderId="40" xfId="0" applyFont="1" applyFill="1" applyBorder="1" applyAlignment="1" applyProtection="1">
      <alignment horizontal="center" vertical="center" wrapText="1"/>
    </xf>
    <xf numFmtId="0" fontId="45" fillId="6" borderId="40" xfId="0" applyFont="1" applyFill="1" applyBorder="1" applyAlignment="1" applyProtection="1">
      <alignment horizontal="center" vertical="center"/>
    </xf>
    <xf numFmtId="0" fontId="40" fillId="5" borderId="6" xfId="0" applyFont="1" applyFill="1" applyBorder="1" applyAlignment="1" applyProtection="1">
      <alignment horizontal="center" vertical="center" wrapText="1"/>
    </xf>
    <xf numFmtId="49" fontId="13" fillId="5" borderId="6" xfId="2" applyNumberFormat="1" applyFont="1" applyFill="1" applyBorder="1" applyAlignment="1" applyProtection="1">
      <alignment horizontal="center" vertical="center" wrapText="1"/>
    </xf>
    <xf numFmtId="0" fontId="0" fillId="0" borderId="53" xfId="0" applyBorder="1"/>
    <xf numFmtId="0" fontId="0" fillId="0" borderId="54" xfId="0" applyBorder="1"/>
    <xf numFmtId="0" fontId="0" fillId="0" borderId="55" xfId="0" applyBorder="1"/>
    <xf numFmtId="0" fontId="0" fillId="0" borderId="56" xfId="0" applyBorder="1"/>
    <xf numFmtId="0" fontId="0" fillId="0" borderId="57" xfId="0" applyBorder="1"/>
    <xf numFmtId="0" fontId="0" fillId="0" borderId="58" xfId="0" applyBorder="1"/>
    <xf numFmtId="0" fontId="0" fillId="0" borderId="59" xfId="0" applyBorder="1"/>
    <xf numFmtId="0" fontId="0" fillId="0" borderId="60" xfId="0" applyBorder="1"/>
    <xf numFmtId="0" fontId="0" fillId="0" borderId="61" xfId="0" applyBorder="1"/>
    <xf numFmtId="0" fontId="13" fillId="4" borderId="0" xfId="0" applyFont="1" applyFill="1" applyBorder="1" applyAlignment="1" applyProtection="1">
      <alignment horizontal="left" vertical="center"/>
    </xf>
    <xf numFmtId="0" fontId="13" fillId="4" borderId="0" xfId="0" applyFont="1" applyFill="1" applyBorder="1" applyAlignment="1" applyProtection="1">
      <alignment horizontal="center" vertical="center"/>
    </xf>
    <xf numFmtId="0" fontId="6" fillId="4" borderId="0" xfId="0" applyFont="1" applyFill="1" applyBorder="1" applyAlignment="1" applyProtection="1">
      <alignment horizontal="center" vertical="center" wrapText="1"/>
    </xf>
    <xf numFmtId="0" fontId="14" fillId="6" borderId="0" xfId="0" applyFont="1" applyFill="1" applyAlignment="1" applyProtection="1">
      <alignment horizontal="center" vertical="center"/>
    </xf>
    <xf numFmtId="0" fontId="13" fillId="4" borderId="0" xfId="0" applyFont="1" applyFill="1" applyBorder="1" applyAlignment="1" applyProtection="1">
      <alignment vertical="center"/>
    </xf>
    <xf numFmtId="0" fontId="13" fillId="4" borderId="0" xfId="0" applyFont="1" applyFill="1" applyBorder="1" applyAlignment="1" applyProtection="1">
      <alignment horizontal="left" vertical="center" wrapText="1"/>
    </xf>
    <xf numFmtId="0" fontId="13" fillId="4" borderId="0" xfId="0" applyFont="1" applyFill="1" applyBorder="1" applyAlignment="1" applyProtection="1">
      <alignment horizontal="center" vertical="center" wrapText="1"/>
    </xf>
    <xf numFmtId="10" fontId="13" fillId="4" borderId="0" xfId="0" applyNumberFormat="1" applyFont="1" applyFill="1" applyBorder="1" applyAlignment="1" applyProtection="1">
      <alignment horizontal="center" vertical="center" wrapText="1"/>
    </xf>
    <xf numFmtId="0" fontId="14" fillId="6" borderId="0" xfId="0" applyFont="1" applyFill="1" applyAlignment="1" applyProtection="1">
      <alignment vertical="center"/>
    </xf>
    <xf numFmtId="0" fontId="4" fillId="6" borderId="0" xfId="0" applyFont="1" applyFill="1" applyAlignment="1" applyProtection="1">
      <alignment vertical="center"/>
    </xf>
    <xf numFmtId="0" fontId="4" fillId="6" borderId="0" xfId="0" applyFont="1" applyFill="1" applyAlignment="1" applyProtection="1">
      <alignment horizontal="center" vertical="center"/>
    </xf>
    <xf numFmtId="0" fontId="16" fillId="6" borderId="0" xfId="0" applyFont="1" applyFill="1" applyAlignment="1" applyProtection="1">
      <alignment horizontal="center" vertical="center"/>
    </xf>
    <xf numFmtId="0" fontId="17" fillId="6" borderId="0" xfId="0" applyFont="1" applyFill="1" applyAlignment="1" applyProtection="1">
      <alignment horizontal="center" vertical="center"/>
    </xf>
    <xf numFmtId="10" fontId="17" fillId="6" borderId="0" xfId="0" applyNumberFormat="1" applyFont="1" applyFill="1" applyAlignment="1" applyProtection="1">
      <alignment horizontal="center" vertical="center"/>
    </xf>
    <xf numFmtId="0" fontId="16" fillId="6" borderId="0" xfId="0" applyFont="1" applyFill="1" applyAlignment="1" applyProtection="1">
      <alignment vertical="center"/>
    </xf>
    <xf numFmtId="0" fontId="6" fillId="5" borderId="9" xfId="0" applyFont="1" applyFill="1" applyBorder="1" applyAlignment="1" applyProtection="1">
      <alignment vertical="center" wrapText="1"/>
    </xf>
    <xf numFmtId="0" fontId="12" fillId="5" borderId="11" xfId="0" applyFont="1" applyFill="1" applyBorder="1" applyAlignment="1" applyProtection="1">
      <alignment horizontal="center" vertical="center"/>
    </xf>
    <xf numFmtId="0" fontId="12" fillId="5" borderId="16" xfId="0" applyFont="1" applyFill="1" applyBorder="1" applyAlignment="1" applyProtection="1">
      <alignment horizontal="center" vertical="center"/>
    </xf>
    <xf numFmtId="0" fontId="6" fillId="5" borderId="6" xfId="0" applyFont="1" applyFill="1" applyBorder="1" applyAlignment="1" applyProtection="1">
      <alignment horizontal="left" vertical="center"/>
    </xf>
    <xf numFmtId="0" fontId="12" fillId="5" borderId="0" xfId="0" applyFont="1" applyFill="1" applyAlignment="1" applyProtection="1">
      <alignment horizontal="center" vertical="center"/>
    </xf>
    <xf numFmtId="10" fontId="12" fillId="5" borderId="0" xfId="0" applyNumberFormat="1" applyFont="1" applyFill="1" applyAlignment="1" applyProtection="1">
      <alignment horizontal="center" vertical="center"/>
    </xf>
    <xf numFmtId="0" fontId="7" fillId="2" borderId="12" xfId="0" applyFont="1" applyFill="1" applyBorder="1" applyAlignment="1" applyProtection="1">
      <alignment horizontal="center" vertical="center" wrapText="1"/>
    </xf>
    <xf numFmtId="0" fontId="16" fillId="6" borderId="0" xfId="0" applyFont="1" applyFill="1" applyBorder="1" applyAlignment="1" applyProtection="1">
      <alignment horizontal="center" vertical="center"/>
    </xf>
    <xf numFmtId="0" fontId="16" fillId="6" borderId="0" xfId="0" applyFont="1" applyFill="1" applyBorder="1" applyAlignment="1" applyProtection="1">
      <alignment vertical="center"/>
    </xf>
    <xf numFmtId="0" fontId="4" fillId="0" borderId="12" xfId="0" applyFont="1" applyFill="1" applyBorder="1" applyAlignment="1" applyProtection="1">
      <alignment horizontal="center" vertical="center" wrapText="1"/>
    </xf>
    <xf numFmtId="10" fontId="4" fillId="0" borderId="12" xfId="0" applyNumberFormat="1" applyFont="1" applyFill="1" applyBorder="1" applyAlignment="1" applyProtection="1">
      <alignment horizontal="center" vertical="center" wrapText="1"/>
    </xf>
    <xf numFmtId="0" fontId="7" fillId="8" borderId="12" xfId="0" applyFont="1" applyFill="1" applyBorder="1" applyAlignment="1" applyProtection="1">
      <alignment horizontal="left" vertical="center"/>
    </xf>
    <xf numFmtId="0" fontId="7" fillId="0" borderId="12" xfId="0" applyFont="1" applyFill="1" applyBorder="1" applyAlignment="1" applyProtection="1">
      <alignment horizontal="center" vertical="center" wrapText="1"/>
    </xf>
    <xf numFmtId="0" fontId="6" fillId="9" borderId="12" xfId="0" applyFont="1" applyFill="1" applyBorder="1" applyAlignment="1" applyProtection="1">
      <alignment vertical="center" wrapText="1"/>
    </xf>
    <xf numFmtId="0" fontId="7" fillId="0" borderId="12" xfId="0" applyFont="1" applyFill="1" applyBorder="1" applyAlignment="1" applyProtection="1">
      <alignment vertical="center" wrapText="1"/>
    </xf>
    <xf numFmtId="10" fontId="4" fillId="0" borderId="12" xfId="0" applyNumberFormat="1" applyFont="1" applyFill="1" applyBorder="1" applyAlignment="1" applyProtection="1">
      <alignment horizontal="center" vertical="center"/>
    </xf>
    <xf numFmtId="10" fontId="4" fillId="6" borderId="0" xfId="0" applyNumberFormat="1" applyFont="1" applyFill="1" applyBorder="1" applyAlignment="1" applyProtection="1">
      <alignment horizontal="center" vertical="center"/>
    </xf>
    <xf numFmtId="0" fontId="12" fillId="6" borderId="12" xfId="0" applyFont="1" applyFill="1" applyBorder="1" applyAlignment="1" applyProtection="1">
      <alignment vertical="center" wrapText="1"/>
    </xf>
    <xf numFmtId="10" fontId="12" fillId="6" borderId="12" xfId="0" applyNumberFormat="1" applyFont="1" applyFill="1" applyBorder="1" applyAlignment="1" applyProtection="1">
      <alignment horizontal="center" vertical="center"/>
    </xf>
    <xf numFmtId="10" fontId="12" fillId="6" borderId="0" xfId="0" applyNumberFormat="1" applyFont="1" applyFill="1" applyBorder="1" applyAlignment="1" applyProtection="1">
      <alignment horizontal="center" vertical="center"/>
    </xf>
    <xf numFmtId="0" fontId="21" fillId="6" borderId="12" xfId="0" applyFont="1" applyFill="1" applyBorder="1" applyAlignment="1" applyProtection="1">
      <alignment vertical="center" wrapText="1"/>
    </xf>
    <xf numFmtId="0" fontId="4" fillId="6" borderId="12" xfId="0" applyFont="1" applyFill="1" applyBorder="1" applyAlignment="1" applyProtection="1">
      <alignment horizontal="center" vertical="center"/>
    </xf>
    <xf numFmtId="0" fontId="16" fillId="6" borderId="0" xfId="0" applyFont="1" applyFill="1" applyAlignment="1" applyProtection="1">
      <alignment horizontal="left" vertical="center" wrapText="1"/>
    </xf>
    <xf numFmtId="10" fontId="16" fillId="6" borderId="0" xfId="0" applyNumberFormat="1" applyFont="1" applyFill="1" applyAlignment="1" applyProtection="1">
      <alignment horizontal="center" vertical="center"/>
    </xf>
    <xf numFmtId="0" fontId="6" fillId="5" borderId="17" xfId="0" applyFont="1" applyFill="1" applyBorder="1" applyAlignment="1" applyProtection="1">
      <alignment vertical="center"/>
    </xf>
    <xf numFmtId="0" fontId="6" fillId="5" borderId="11" xfId="0" applyFont="1" applyFill="1" applyBorder="1" applyAlignment="1" applyProtection="1">
      <alignment horizontal="center" vertical="center"/>
    </xf>
    <xf numFmtId="0" fontId="6" fillId="5" borderId="16" xfId="0" applyFont="1" applyFill="1" applyBorder="1" applyAlignment="1" applyProtection="1">
      <alignment horizontal="center" vertical="center"/>
    </xf>
    <xf numFmtId="0" fontId="21" fillId="6" borderId="0" xfId="0" applyFont="1" applyFill="1" applyBorder="1" applyAlignment="1" applyProtection="1">
      <alignment horizontal="left" vertical="center" wrapText="1"/>
    </xf>
    <xf numFmtId="10" fontId="16" fillId="6" borderId="0" xfId="0" applyNumberFormat="1" applyFont="1" applyFill="1" applyBorder="1" applyAlignment="1" applyProtection="1">
      <alignment horizontal="center" vertical="center"/>
    </xf>
    <xf numFmtId="0" fontId="21" fillId="6" borderId="0" xfId="0" applyFont="1" applyFill="1" applyBorder="1" applyAlignment="1" applyProtection="1">
      <alignment vertical="center" wrapText="1"/>
    </xf>
    <xf numFmtId="0" fontId="6" fillId="5" borderId="10" xfId="0" applyFont="1" applyFill="1" applyBorder="1" applyAlignment="1" applyProtection="1">
      <alignment vertical="center"/>
    </xf>
    <xf numFmtId="0" fontId="6" fillId="5" borderId="7" xfId="0" applyFont="1" applyFill="1" applyBorder="1" applyAlignment="1" applyProtection="1">
      <alignment horizontal="center" vertical="center"/>
    </xf>
    <xf numFmtId="0" fontId="12" fillId="5" borderId="7" xfId="0" applyFont="1" applyFill="1" applyBorder="1" applyAlignment="1" applyProtection="1">
      <alignment horizontal="center" vertical="center"/>
    </xf>
    <xf numFmtId="0" fontId="6" fillId="5" borderId="8" xfId="0" applyFont="1" applyFill="1" applyBorder="1" applyAlignment="1" applyProtection="1">
      <alignment horizontal="center" vertical="center"/>
    </xf>
    <xf numFmtId="0" fontId="4" fillId="0" borderId="18" xfId="0" applyFont="1" applyFill="1" applyBorder="1" applyAlignment="1" applyProtection="1">
      <alignment horizontal="center" vertical="center" wrapText="1"/>
    </xf>
    <xf numFmtId="0" fontId="21" fillId="6" borderId="19" xfId="0" applyFont="1" applyFill="1" applyBorder="1" applyAlignment="1" applyProtection="1">
      <alignment vertical="center" wrapText="1"/>
    </xf>
    <xf numFmtId="0" fontId="15" fillId="6" borderId="0" xfId="0" applyFont="1" applyFill="1" applyAlignment="1" applyProtection="1">
      <alignment horizontal="center" vertical="center"/>
    </xf>
    <xf numFmtId="0" fontId="10" fillId="5" borderId="0" xfId="0" applyFont="1" applyFill="1" applyAlignment="1" applyProtection="1">
      <alignment horizontal="center" vertical="center"/>
    </xf>
    <xf numFmtId="0" fontId="13" fillId="5" borderId="0" xfId="0" applyFont="1" applyFill="1" applyBorder="1" applyAlignment="1" applyProtection="1">
      <alignment horizontal="left" vertical="center"/>
    </xf>
    <xf numFmtId="0" fontId="13" fillId="5" borderId="0" xfId="0" applyFont="1" applyFill="1" applyBorder="1" applyAlignment="1" applyProtection="1">
      <alignment horizontal="center" vertical="center"/>
    </xf>
    <xf numFmtId="0" fontId="6" fillId="5" borderId="0" xfId="0" applyFont="1" applyFill="1" applyBorder="1" applyAlignment="1" applyProtection="1">
      <alignment horizontal="center" vertical="center" wrapText="1"/>
    </xf>
    <xf numFmtId="0" fontId="6" fillId="5" borderId="0" xfId="0" applyFont="1" applyFill="1" applyBorder="1" applyAlignment="1" applyProtection="1">
      <alignment vertical="center" wrapText="1"/>
    </xf>
    <xf numFmtId="0" fontId="13" fillId="5" borderId="0" xfId="0" applyFont="1" applyFill="1" applyBorder="1" applyAlignment="1" applyProtection="1">
      <alignment horizontal="left" vertical="center" wrapText="1"/>
    </xf>
    <xf numFmtId="0" fontId="13" fillId="5" borderId="0" xfId="0" applyFont="1" applyFill="1" applyBorder="1" applyAlignment="1" applyProtection="1">
      <alignment horizontal="center" vertical="center" wrapText="1"/>
    </xf>
    <xf numFmtId="10" fontId="13" fillId="5" borderId="0" xfId="0" applyNumberFormat="1" applyFont="1" applyFill="1" applyBorder="1" applyAlignment="1" applyProtection="1">
      <alignment horizontal="center" vertical="center" wrapText="1"/>
    </xf>
    <xf numFmtId="0" fontId="6" fillId="12" borderId="36" xfId="0" applyFont="1" applyFill="1" applyBorder="1" applyAlignment="1" applyProtection="1">
      <alignment vertical="center" wrapText="1"/>
    </xf>
    <xf numFmtId="0" fontId="12" fillId="12" borderId="36" xfId="0" applyFont="1" applyFill="1" applyBorder="1" applyAlignment="1" applyProtection="1">
      <alignment horizontal="center" vertical="center"/>
    </xf>
    <xf numFmtId="0" fontId="12" fillId="12" borderId="36" xfId="0" applyFont="1" applyFill="1" applyBorder="1" applyAlignment="1" applyProtection="1">
      <alignment vertical="center"/>
    </xf>
    <xf numFmtId="0" fontId="7" fillId="7" borderId="36" xfId="0" applyFont="1" applyFill="1" applyBorder="1" applyAlignment="1" applyProtection="1">
      <alignment vertical="center" wrapText="1"/>
    </xf>
    <xf numFmtId="0" fontId="7" fillId="7" borderId="36" xfId="0" applyFont="1" applyFill="1" applyBorder="1" applyAlignment="1" applyProtection="1">
      <alignment horizontal="center" vertical="center" wrapText="1"/>
    </xf>
    <xf numFmtId="0" fontId="4" fillId="0" borderId="36" xfId="0" applyFont="1" applyFill="1" applyBorder="1" applyAlignment="1" applyProtection="1">
      <alignment horizontal="center" vertical="center" wrapText="1"/>
    </xf>
    <xf numFmtId="10" fontId="4" fillId="0" borderId="36" xfId="0" applyNumberFormat="1" applyFont="1" applyFill="1" applyBorder="1" applyAlignment="1" applyProtection="1">
      <alignment horizontal="center" vertical="center" wrapText="1"/>
    </xf>
    <xf numFmtId="10" fontId="4" fillId="0" borderId="36" xfId="0" applyNumberFormat="1" applyFont="1" applyFill="1" applyBorder="1" applyAlignment="1" applyProtection="1">
      <alignment vertical="center" wrapText="1"/>
    </xf>
    <xf numFmtId="0" fontId="6" fillId="9" borderId="36" xfId="0" applyFont="1" applyFill="1" applyBorder="1" applyAlignment="1" applyProtection="1">
      <alignment vertical="center" wrapText="1"/>
    </xf>
    <xf numFmtId="0" fontId="7" fillId="0" borderId="36" xfId="0" applyFont="1" applyFill="1" applyBorder="1" applyAlignment="1" applyProtection="1">
      <alignment vertical="center" wrapText="1"/>
    </xf>
    <xf numFmtId="10" fontId="4" fillId="0" borderId="36" xfId="0" applyNumberFormat="1" applyFont="1" applyFill="1" applyBorder="1" applyAlignment="1" applyProtection="1">
      <alignment horizontal="center" vertical="center"/>
    </xf>
    <xf numFmtId="10" fontId="4" fillId="6" borderId="0" xfId="0" applyNumberFormat="1" applyFont="1" applyFill="1" applyBorder="1" applyAlignment="1" applyProtection="1">
      <alignment vertical="center"/>
    </xf>
    <xf numFmtId="0" fontId="12" fillId="6" borderId="36" xfId="0" applyFont="1" applyFill="1" applyBorder="1" applyAlignment="1" applyProtection="1">
      <alignment vertical="center" wrapText="1"/>
    </xf>
    <xf numFmtId="10" fontId="12" fillId="6" borderId="36" xfId="0" applyNumberFormat="1" applyFont="1" applyFill="1" applyBorder="1" applyAlignment="1" applyProtection="1">
      <alignment horizontal="center" vertical="center"/>
    </xf>
    <xf numFmtId="10" fontId="12" fillId="6" borderId="0" xfId="0" applyNumberFormat="1" applyFont="1" applyFill="1" applyBorder="1" applyAlignment="1" applyProtection="1">
      <alignment vertical="center"/>
    </xf>
    <xf numFmtId="0" fontId="21" fillId="6" borderId="36" xfId="0" applyFont="1" applyFill="1" applyBorder="1" applyAlignment="1" applyProtection="1">
      <alignment vertical="center" wrapText="1"/>
    </xf>
    <xf numFmtId="0" fontId="4" fillId="6" borderId="36" xfId="0" applyFont="1" applyFill="1" applyBorder="1" applyAlignment="1" applyProtection="1">
      <alignment horizontal="center" vertical="center"/>
    </xf>
    <xf numFmtId="0" fontId="12" fillId="6" borderId="0" xfId="0" applyFont="1" applyFill="1" applyBorder="1" applyAlignment="1" applyProtection="1">
      <alignment vertical="center"/>
    </xf>
    <xf numFmtId="0" fontId="6" fillId="6" borderId="0" xfId="0" applyFont="1" applyFill="1" applyBorder="1" applyAlignment="1" applyProtection="1">
      <alignment horizontal="left" vertical="center"/>
    </xf>
    <xf numFmtId="0" fontId="15" fillId="6" borderId="0" xfId="0" applyFont="1" applyFill="1" applyBorder="1" applyAlignment="1" applyProtection="1">
      <alignment horizontal="center" vertical="center"/>
    </xf>
    <xf numFmtId="0" fontId="6" fillId="6" borderId="0" xfId="0" applyFont="1" applyFill="1" applyBorder="1" applyAlignment="1" applyProtection="1">
      <alignment horizontal="center" vertical="center"/>
    </xf>
    <xf numFmtId="0" fontId="10" fillId="6" borderId="0" xfId="0" applyFont="1" applyFill="1" applyBorder="1" applyAlignment="1" applyProtection="1">
      <alignment horizontal="center" vertical="center"/>
    </xf>
    <xf numFmtId="0" fontId="6" fillId="12" borderId="36" xfId="0" applyFont="1" applyFill="1" applyBorder="1" applyAlignment="1" applyProtection="1">
      <alignment vertical="center"/>
    </xf>
    <xf numFmtId="10" fontId="9" fillId="6" borderId="0" xfId="0" applyNumberFormat="1" applyFont="1" applyFill="1" applyAlignment="1">
      <alignment vertical="center"/>
    </xf>
    <xf numFmtId="0" fontId="6" fillId="10" borderId="12" xfId="0" applyFont="1" applyFill="1" applyBorder="1" applyAlignment="1" applyProtection="1">
      <alignment vertical="center" wrapText="1"/>
    </xf>
    <xf numFmtId="0" fontId="6" fillId="15" borderId="36" xfId="0" applyFont="1" applyFill="1" applyBorder="1" applyAlignment="1" applyProtection="1">
      <alignment vertical="center" wrapText="1"/>
    </xf>
    <xf numFmtId="0" fontId="0" fillId="0" borderId="1" xfId="0" applyNumberFormat="1" applyBorder="1" applyAlignment="1" applyProtection="1">
      <alignment horizontal="left" vertical="center" wrapText="1"/>
    </xf>
    <xf numFmtId="0" fontId="0" fillId="0" borderId="1" xfId="0" applyNumberFormat="1" applyBorder="1" applyAlignment="1" applyProtection="1">
      <alignment horizontal="center" vertical="center" wrapText="1"/>
    </xf>
    <xf numFmtId="0" fontId="6" fillId="4" borderId="3" xfId="0" applyNumberFormat="1" applyFont="1" applyFill="1" applyBorder="1" applyAlignment="1" applyProtection="1">
      <alignment horizontal="center" vertical="center" wrapText="1"/>
    </xf>
    <xf numFmtId="0" fontId="9" fillId="6" borderId="0" xfId="0" applyNumberFormat="1" applyFont="1" applyFill="1" applyAlignment="1" applyProtection="1">
      <alignment horizontal="left" wrapText="1"/>
    </xf>
    <xf numFmtId="0" fontId="3" fillId="6" borderId="0" xfId="0" applyNumberFormat="1" applyFont="1" applyFill="1" applyAlignment="1" applyProtection="1">
      <alignment horizontal="left" wrapText="1"/>
    </xf>
    <xf numFmtId="0" fontId="10" fillId="6" borderId="0" xfId="0" applyNumberFormat="1" applyFont="1" applyFill="1" applyAlignment="1" applyProtection="1">
      <alignment wrapText="1"/>
    </xf>
    <xf numFmtId="164" fontId="0" fillId="0" borderId="1" xfId="0" applyNumberFormat="1" applyBorder="1" applyAlignment="1" applyProtection="1">
      <alignment horizontal="center" vertical="center" wrapText="1"/>
    </xf>
    <xf numFmtId="0" fontId="60" fillId="22" borderId="64" xfId="0" applyFont="1" applyFill="1" applyBorder="1" applyAlignment="1" applyProtection="1">
      <alignment horizontal="center" vertical="center" wrapText="1"/>
    </xf>
    <xf numFmtId="166" fontId="60" fillId="22" borderId="65" xfId="0" applyNumberFormat="1" applyFont="1" applyFill="1" applyBorder="1" applyAlignment="1" applyProtection="1">
      <alignment horizontal="center" vertical="center" wrapText="1"/>
    </xf>
    <xf numFmtId="0" fontId="60" fillId="24" borderId="64" xfId="0" applyFont="1" applyFill="1" applyBorder="1" applyAlignment="1" applyProtection="1">
      <alignment horizontal="center" vertical="center" wrapText="1"/>
    </xf>
    <xf numFmtId="0" fontId="17" fillId="3" borderId="62" xfId="0" applyFont="1" applyFill="1" applyBorder="1" applyAlignment="1" applyProtection="1">
      <alignment horizontal="center" vertical="center" wrapText="1"/>
    </xf>
    <xf numFmtId="0" fontId="8" fillId="0" borderId="1" xfId="0" applyNumberFormat="1" applyFont="1" applyBorder="1" applyAlignment="1" applyProtection="1">
      <alignment horizontal="left" vertical="center" wrapText="1"/>
    </xf>
    <xf numFmtId="0" fontId="10" fillId="6" borderId="0" xfId="0" applyNumberFormat="1" applyFont="1" applyFill="1" applyAlignment="1" applyProtection="1">
      <alignment horizontal="left" vertical="top" wrapText="1"/>
    </xf>
    <xf numFmtId="0" fontId="10" fillId="6" borderId="0" xfId="0" applyNumberFormat="1" applyFont="1" applyFill="1" applyAlignment="1" applyProtection="1">
      <alignment vertical="center" wrapText="1"/>
    </xf>
    <xf numFmtId="0" fontId="57" fillId="0" borderId="1" xfId="0" applyNumberFormat="1" applyFont="1" applyBorder="1" applyAlignment="1" applyProtection="1">
      <alignment horizontal="left" vertical="center"/>
    </xf>
    <xf numFmtId="0" fontId="0" fillId="0" borderId="1" xfId="0" applyNumberFormat="1" applyBorder="1" applyAlignment="1" applyProtection="1">
      <alignment horizontal="left" vertical="center"/>
    </xf>
    <xf numFmtId="0" fontId="0" fillId="0" borderId="3" xfId="0" applyNumberFormat="1" applyBorder="1" applyAlignment="1" applyProtection="1">
      <alignment horizontal="center" vertical="center"/>
    </xf>
    <xf numFmtId="0" fontId="8" fillId="0" borderId="1" xfId="0" applyNumberFormat="1" applyFont="1" applyBorder="1" applyAlignment="1" applyProtection="1">
      <alignment horizontal="left" vertical="center"/>
    </xf>
    <xf numFmtId="0" fontId="61" fillId="20" borderId="63" xfId="0" applyFont="1" applyFill="1" applyBorder="1" applyAlignment="1" applyProtection="1">
      <alignment vertical="center" wrapText="1"/>
    </xf>
    <xf numFmtId="0" fontId="61" fillId="21" borderId="63" xfId="0" applyFont="1" applyFill="1" applyBorder="1" applyAlignment="1" applyProtection="1">
      <alignment vertical="center" wrapText="1"/>
    </xf>
    <xf numFmtId="166" fontId="61" fillId="21" borderId="63" xfId="0" applyNumberFormat="1" applyFont="1" applyFill="1" applyBorder="1" applyAlignment="1" applyProtection="1">
      <alignment horizontal="center" vertical="center" wrapText="1"/>
    </xf>
    <xf numFmtId="10" fontId="4" fillId="0" borderId="12" xfId="0" applyNumberFormat="1" applyFont="1" applyFill="1" applyBorder="1" applyAlignment="1" applyProtection="1">
      <alignment horizontal="center" vertical="center" wrapText="1"/>
    </xf>
    <xf numFmtId="10" fontId="4" fillId="0" borderId="36" xfId="0" applyNumberFormat="1" applyFont="1" applyFill="1" applyBorder="1" applyAlignment="1" applyProtection="1">
      <alignment horizontal="center" vertical="center" wrapText="1"/>
    </xf>
    <xf numFmtId="0" fontId="61" fillId="21" borderId="63" xfId="0" applyFont="1" applyFill="1" applyBorder="1" applyAlignment="1" applyProtection="1">
      <alignment horizontal="left" vertical="center" wrapText="1"/>
    </xf>
    <xf numFmtId="166" fontId="29" fillId="21" borderId="63" xfId="0" applyNumberFormat="1" applyFont="1" applyFill="1" applyBorder="1" applyAlignment="1" applyProtection="1">
      <alignment horizontal="center" vertical="center" wrapText="1"/>
    </xf>
    <xf numFmtId="0" fontId="29" fillId="21" borderId="63" xfId="0" applyFont="1" applyFill="1" applyBorder="1" applyAlignment="1" applyProtection="1">
      <alignment vertical="center" wrapText="1"/>
    </xf>
    <xf numFmtId="166" fontId="61" fillId="19" borderId="63" xfId="0" applyNumberFormat="1" applyFont="1" applyFill="1" applyBorder="1" applyAlignment="1" applyProtection="1">
      <alignment horizontal="center" vertical="center" wrapText="1"/>
    </xf>
    <xf numFmtId="0" fontId="29" fillId="20" borderId="63" xfId="0" applyFont="1" applyFill="1" applyBorder="1" applyAlignment="1" applyProtection="1">
      <alignment vertical="center" wrapText="1"/>
    </xf>
    <xf numFmtId="0" fontId="61" fillId="21" borderId="63" xfId="0" applyFont="1" applyFill="1" applyBorder="1" applyAlignment="1" applyProtection="1">
      <alignment horizontal="center" vertical="center" wrapText="1"/>
    </xf>
    <xf numFmtId="0" fontId="17" fillId="25" borderId="62" xfId="0" applyFont="1" applyFill="1" applyBorder="1" applyAlignment="1" applyProtection="1">
      <alignment horizontal="center" vertical="center" wrapText="1"/>
    </xf>
    <xf numFmtId="0" fontId="17" fillId="25" borderId="0" xfId="0" applyFont="1" applyFill="1" applyBorder="1" applyAlignment="1" applyProtection="1">
      <alignment horizontal="center" vertical="center" wrapText="1"/>
    </xf>
    <xf numFmtId="0" fontId="35" fillId="6" borderId="29" xfId="0" applyFont="1" applyFill="1" applyBorder="1" applyAlignment="1">
      <alignment horizontal="right" vertical="center" wrapText="1"/>
    </xf>
    <xf numFmtId="1" fontId="0" fillId="6" borderId="0" xfId="0" applyNumberFormat="1" applyFill="1" applyAlignment="1">
      <alignment vertical="center"/>
    </xf>
    <xf numFmtId="0" fontId="0" fillId="0" borderId="1" xfId="0" applyNumberFormat="1" applyBorder="1" applyAlignment="1" applyProtection="1">
      <alignment horizontal="center" vertical="center"/>
    </xf>
    <xf numFmtId="0" fontId="0" fillId="0" borderId="0" xfId="0" applyNumberFormat="1" applyAlignment="1" applyProtection="1"/>
    <xf numFmtId="0" fontId="6" fillId="12" borderId="5" xfId="0" applyNumberFormat="1" applyFont="1" applyFill="1" applyBorder="1" applyAlignment="1" applyProtection="1">
      <alignment horizontal="center" vertical="center" wrapText="1"/>
    </xf>
    <xf numFmtId="166" fontId="60" fillId="26" borderId="65" xfId="0" applyNumberFormat="1" applyFont="1" applyFill="1" applyBorder="1" applyAlignment="1" applyProtection="1">
      <alignment horizontal="center" vertical="center" wrapText="1"/>
    </xf>
    <xf numFmtId="0" fontId="6" fillId="4" borderId="1" xfId="0" applyNumberFormat="1" applyFont="1" applyFill="1" applyBorder="1" applyAlignment="1" applyProtection="1">
      <alignment horizontal="center" vertical="center" wrapText="1"/>
    </xf>
    <xf numFmtId="0" fontId="3" fillId="0" borderId="0" xfId="0" applyNumberFormat="1" applyFont="1" applyAlignment="1" applyProtection="1">
      <alignment wrapText="1"/>
    </xf>
    <xf numFmtId="0" fontId="10" fillId="6" borderId="4" xfId="0" applyNumberFormat="1" applyFont="1" applyFill="1" applyBorder="1" applyAlignment="1" applyProtection="1">
      <alignment horizontal="left" vertical="center" wrapText="1"/>
    </xf>
    <xf numFmtId="0" fontId="12" fillId="6" borderId="4" xfId="0" applyNumberFormat="1" applyFont="1" applyFill="1" applyBorder="1" applyAlignment="1" applyProtection="1">
      <alignment horizontal="center" vertical="center" wrapText="1"/>
    </xf>
    <xf numFmtId="0" fontId="12" fillId="6" borderId="45" xfId="0" applyNumberFormat="1" applyFont="1" applyFill="1" applyBorder="1" applyAlignment="1" applyProtection="1">
      <alignment horizontal="left" vertical="center" wrapText="1"/>
    </xf>
    <xf numFmtId="0" fontId="12" fillId="6" borderId="44" xfId="0" applyNumberFormat="1" applyFont="1" applyFill="1" applyBorder="1" applyAlignment="1" applyProtection="1">
      <alignment horizontal="left" vertical="center" wrapText="1"/>
    </xf>
    <xf numFmtId="0" fontId="12" fillId="6" borderId="4" xfId="0" applyNumberFormat="1" applyFont="1" applyFill="1" applyBorder="1" applyAlignment="1" applyProtection="1">
      <alignment horizontal="left" vertical="center" wrapText="1"/>
    </xf>
    <xf numFmtId="49" fontId="12" fillId="6" borderId="44" xfId="0" applyNumberFormat="1" applyFont="1" applyFill="1" applyBorder="1" applyAlignment="1" applyProtection="1">
      <alignment horizontal="left" vertical="center" wrapText="1"/>
    </xf>
    <xf numFmtId="0" fontId="0" fillId="0" borderId="0" xfId="0" applyNumberFormat="1" applyAlignment="1" applyProtection="1">
      <alignment wrapText="1"/>
    </xf>
    <xf numFmtId="10" fontId="12" fillId="6" borderId="44" xfId="0" applyNumberFormat="1" applyFont="1" applyFill="1" applyBorder="1" applyAlignment="1" applyProtection="1">
      <alignment horizontal="left" vertical="center" wrapText="1"/>
    </xf>
    <xf numFmtId="0" fontId="11" fillId="6" borderId="44" xfId="0" applyNumberFormat="1" applyFont="1" applyFill="1" applyBorder="1" applyAlignment="1" applyProtection="1">
      <alignment horizontal="left" vertical="center" wrapText="1"/>
    </xf>
    <xf numFmtId="0" fontId="11" fillId="6" borderId="4" xfId="0" applyNumberFormat="1" applyFont="1" applyFill="1" applyBorder="1" applyAlignment="1" applyProtection="1">
      <alignment horizontal="left" vertical="center" wrapText="1"/>
    </xf>
    <xf numFmtId="0" fontId="11" fillId="6" borderId="45" xfId="0" applyNumberFormat="1" applyFont="1" applyFill="1" applyBorder="1" applyAlignment="1" applyProtection="1">
      <alignment horizontal="left" vertical="center" wrapText="1"/>
    </xf>
    <xf numFmtId="0" fontId="10" fillId="6" borderId="44" xfId="0" applyNumberFormat="1" applyFont="1" applyFill="1" applyBorder="1" applyAlignment="1" applyProtection="1">
      <alignment horizontal="left" vertical="center" wrapText="1"/>
    </xf>
    <xf numFmtId="165" fontId="10" fillId="6" borderId="4" xfId="0" applyNumberFormat="1" applyFont="1" applyFill="1" applyBorder="1" applyAlignment="1" applyProtection="1">
      <alignment horizontal="left" vertical="center" wrapText="1"/>
    </xf>
    <xf numFmtId="0" fontId="11" fillId="0" borderId="44" xfId="0" applyNumberFormat="1" applyFont="1" applyFill="1" applyBorder="1" applyAlignment="1" applyProtection="1">
      <alignment horizontal="left" vertical="center" wrapText="1"/>
    </xf>
    <xf numFmtId="0" fontId="10" fillId="6" borderId="45" xfId="0" applyNumberFormat="1" applyFont="1" applyFill="1" applyBorder="1" applyAlignment="1" applyProtection="1">
      <alignment horizontal="left" vertical="center" wrapText="1"/>
    </xf>
    <xf numFmtId="0" fontId="55" fillId="6" borderId="44" xfId="0" applyNumberFormat="1" applyFont="1" applyFill="1" applyBorder="1" applyAlignment="1" applyProtection="1">
      <alignment horizontal="left" vertical="center" wrapText="1"/>
    </xf>
    <xf numFmtId="9" fontId="12" fillId="6" borderId="44" xfId="0" applyNumberFormat="1" applyFont="1" applyFill="1" applyBorder="1" applyAlignment="1" applyProtection="1">
      <alignment horizontal="left" vertical="center" wrapText="1"/>
    </xf>
    <xf numFmtId="17" fontId="10" fillId="6" borderId="4" xfId="0" applyNumberFormat="1" applyFont="1" applyFill="1" applyBorder="1" applyAlignment="1" applyProtection="1">
      <alignment horizontal="left" vertical="center" wrapText="1"/>
    </xf>
    <xf numFmtId="0" fontId="10" fillId="0" borderId="4" xfId="0" applyNumberFormat="1" applyFont="1" applyFill="1" applyBorder="1" applyAlignment="1" applyProtection="1">
      <alignment horizontal="left" vertical="center" wrapText="1"/>
    </xf>
    <xf numFmtId="0" fontId="12" fillId="0" borderId="45" xfId="0" applyNumberFormat="1" applyFont="1" applyFill="1" applyBorder="1" applyAlignment="1" applyProtection="1">
      <alignment horizontal="left" vertical="center" wrapText="1"/>
    </xf>
    <xf numFmtId="9" fontId="10" fillId="6" borderId="4" xfId="3" applyFont="1" applyFill="1" applyBorder="1" applyAlignment="1" applyProtection="1">
      <alignment horizontal="left" vertical="center" wrapText="1"/>
    </xf>
    <xf numFmtId="10" fontId="11" fillId="6" borderId="44" xfId="0" applyNumberFormat="1" applyFont="1" applyFill="1" applyBorder="1" applyAlignment="1" applyProtection="1">
      <alignment horizontal="left" vertical="center" wrapText="1"/>
    </xf>
    <xf numFmtId="0" fontId="58" fillId="6" borderId="4" xfId="0" applyNumberFormat="1" applyFont="1" applyFill="1" applyBorder="1" applyAlignment="1" applyProtection="1">
      <alignment horizontal="left" vertical="center" wrapText="1"/>
    </xf>
    <xf numFmtId="0" fontId="10" fillId="6" borderId="1" xfId="0" applyNumberFormat="1" applyFont="1" applyFill="1" applyBorder="1" applyAlignment="1" applyProtection="1">
      <alignment horizontal="left" vertical="center" wrapText="1"/>
    </xf>
    <xf numFmtId="0" fontId="20" fillId="6" borderId="45" xfId="1" applyNumberFormat="1" applyFill="1" applyBorder="1" applyAlignment="1" applyProtection="1">
      <alignment horizontal="left" vertical="center" wrapText="1"/>
    </xf>
    <xf numFmtId="0" fontId="12" fillId="0" borderId="4" xfId="0" applyNumberFormat="1" applyFont="1" applyFill="1" applyBorder="1" applyAlignment="1" applyProtection="1">
      <alignment horizontal="left" vertical="center" wrapText="1"/>
    </xf>
    <xf numFmtId="10" fontId="10" fillId="6" borderId="4" xfId="0" applyNumberFormat="1" applyFont="1" applyFill="1" applyBorder="1" applyAlignment="1" applyProtection="1">
      <alignment horizontal="left" vertical="center" wrapText="1"/>
    </xf>
    <xf numFmtId="9" fontId="10" fillId="0" borderId="4" xfId="0" applyNumberFormat="1" applyFont="1" applyFill="1" applyBorder="1" applyAlignment="1" applyProtection="1">
      <alignment horizontal="left" vertical="center" wrapText="1"/>
    </xf>
    <xf numFmtId="4" fontId="10" fillId="6" borderId="4" xfId="0" applyNumberFormat="1" applyFont="1" applyFill="1" applyBorder="1" applyAlignment="1" applyProtection="1">
      <alignment horizontal="left" vertical="center" wrapText="1"/>
    </xf>
    <xf numFmtId="3" fontId="10" fillId="6" borderId="4" xfId="0" applyNumberFormat="1" applyFont="1" applyFill="1" applyBorder="1" applyAlignment="1" applyProtection="1">
      <alignment horizontal="left" vertical="center" wrapText="1"/>
    </xf>
    <xf numFmtId="9" fontId="10" fillId="6" borderId="4" xfId="0" applyNumberFormat="1" applyFont="1" applyFill="1" applyBorder="1" applyAlignment="1" applyProtection="1">
      <alignment horizontal="left" vertical="center" wrapText="1"/>
    </xf>
    <xf numFmtId="0" fontId="9" fillId="0" borderId="1" xfId="0" applyNumberFormat="1" applyFont="1" applyBorder="1" applyAlignment="1" applyProtection="1">
      <alignment horizontal="left" vertical="center" wrapText="1"/>
    </xf>
    <xf numFmtId="0" fontId="12" fillId="6" borderId="44" xfId="0" applyNumberFormat="1" applyFont="1" applyFill="1" applyBorder="1" applyAlignment="1" applyProtection="1">
      <alignment horizontal="center" vertical="center" wrapText="1"/>
    </xf>
    <xf numFmtId="0" fontId="6" fillId="28" borderId="5" xfId="0" applyNumberFormat="1" applyFont="1" applyFill="1" applyBorder="1" applyAlignment="1" applyProtection="1">
      <alignment horizontal="center" vertical="center" wrapText="1"/>
    </xf>
    <xf numFmtId="0" fontId="11" fillId="6" borderId="4" xfId="0" quotePrefix="1" applyNumberFormat="1" applyFont="1" applyFill="1" applyBorder="1" applyAlignment="1" applyProtection="1">
      <alignment horizontal="left" vertical="center" wrapText="1"/>
    </xf>
    <xf numFmtId="0" fontId="11" fillId="6" borderId="44" xfId="0" quotePrefix="1" applyNumberFormat="1" applyFont="1" applyFill="1" applyBorder="1" applyAlignment="1" applyProtection="1">
      <alignment horizontal="left" vertical="center" wrapText="1"/>
    </xf>
    <xf numFmtId="9" fontId="12" fillId="6" borderId="4" xfId="0" applyNumberFormat="1" applyFont="1" applyFill="1" applyBorder="1" applyAlignment="1" applyProtection="1">
      <alignment horizontal="left" vertical="center" wrapText="1"/>
    </xf>
    <xf numFmtId="10" fontId="11" fillId="6" borderId="44" xfId="3" applyNumberFormat="1" applyFont="1" applyFill="1" applyBorder="1" applyAlignment="1" applyProtection="1">
      <alignment horizontal="left" vertical="center" wrapText="1"/>
    </xf>
    <xf numFmtId="0" fontId="11" fillId="0" borderId="4" xfId="0" applyNumberFormat="1" applyFont="1" applyFill="1" applyBorder="1" applyAlignment="1" applyProtection="1">
      <alignment horizontal="left" vertical="center" wrapText="1"/>
    </xf>
    <xf numFmtId="0" fontId="56" fillId="6" borderId="45" xfId="0" applyNumberFormat="1" applyFont="1" applyFill="1" applyBorder="1" applyAlignment="1" applyProtection="1">
      <alignment horizontal="left" vertical="center" wrapText="1"/>
    </xf>
    <xf numFmtId="10" fontId="11" fillId="6" borderId="4" xfId="0" applyNumberFormat="1" applyFont="1" applyFill="1" applyBorder="1" applyAlignment="1" applyProtection="1">
      <alignment horizontal="left" vertical="center" wrapText="1"/>
    </xf>
    <xf numFmtId="10" fontId="12" fillId="6" borderId="45" xfId="0" applyNumberFormat="1" applyFont="1" applyFill="1" applyBorder="1" applyAlignment="1" applyProtection="1">
      <alignment horizontal="left" vertical="center" wrapText="1"/>
    </xf>
    <xf numFmtId="0" fontId="0" fillId="0" borderId="45" xfId="0" applyNumberFormat="1" applyBorder="1" applyAlignment="1" applyProtection="1">
      <alignment horizontal="left" vertical="center" wrapText="1"/>
    </xf>
    <xf numFmtId="9" fontId="10" fillId="6" borderId="44" xfId="3" applyFont="1" applyFill="1" applyBorder="1" applyAlignment="1" applyProtection="1">
      <alignment horizontal="left" vertical="center" wrapText="1"/>
    </xf>
    <xf numFmtId="10" fontId="11" fillId="0" borderId="44" xfId="0" applyNumberFormat="1" applyFont="1" applyFill="1" applyBorder="1" applyAlignment="1" applyProtection="1">
      <alignment horizontal="left" vertical="center" wrapText="1"/>
    </xf>
    <xf numFmtId="8" fontId="12" fillId="6" borderId="44" xfId="0" applyNumberFormat="1" applyFont="1" applyFill="1" applyBorder="1" applyAlignment="1" applyProtection="1">
      <alignment horizontal="left" vertical="center" wrapText="1"/>
    </xf>
    <xf numFmtId="8" fontId="12" fillId="6" borderId="4" xfId="0" applyNumberFormat="1" applyFont="1" applyFill="1" applyBorder="1" applyAlignment="1" applyProtection="1">
      <alignment horizontal="left" vertical="center" wrapText="1"/>
    </xf>
    <xf numFmtId="4" fontId="12" fillId="6" borderId="44" xfId="0" applyNumberFormat="1" applyFont="1" applyFill="1" applyBorder="1" applyAlignment="1" applyProtection="1">
      <alignment horizontal="left" vertical="center" wrapText="1"/>
    </xf>
    <xf numFmtId="0" fontId="12" fillId="29" borderId="45" xfId="0" applyNumberFormat="1" applyFont="1" applyFill="1" applyBorder="1" applyAlignment="1" applyProtection="1">
      <alignment horizontal="left" vertical="center" wrapText="1"/>
    </xf>
    <xf numFmtId="0" fontId="12" fillId="0" borderId="44" xfId="0" applyNumberFormat="1" applyFont="1" applyFill="1" applyBorder="1" applyAlignment="1" applyProtection="1">
      <alignment horizontal="left" vertical="center" wrapText="1"/>
    </xf>
    <xf numFmtId="10" fontId="10" fillId="6" borderId="45" xfId="0" applyNumberFormat="1" applyFont="1" applyFill="1" applyBorder="1" applyAlignment="1" applyProtection="1">
      <alignment horizontal="left" vertical="center" wrapText="1"/>
    </xf>
    <xf numFmtId="10" fontId="12" fillId="0" borderId="4" xfId="0" applyNumberFormat="1" applyFont="1" applyFill="1" applyBorder="1" applyAlignment="1" applyProtection="1">
      <alignment horizontal="left" vertical="center" wrapText="1"/>
    </xf>
    <xf numFmtId="10" fontId="4" fillId="0" borderId="12" xfId="0" applyNumberFormat="1" applyFont="1" applyFill="1" applyBorder="1" applyAlignment="1" applyProtection="1">
      <alignment horizontal="center" vertical="center" wrapText="1"/>
    </xf>
    <xf numFmtId="17" fontId="10" fillId="6" borderId="44" xfId="0" applyNumberFormat="1" applyFont="1" applyFill="1" applyBorder="1" applyAlignment="1" applyProtection="1">
      <alignment horizontal="left" vertical="center" wrapText="1"/>
    </xf>
    <xf numFmtId="164" fontId="0" fillId="0" borderId="2" xfId="0" applyNumberFormat="1" applyBorder="1" applyAlignment="1" applyProtection="1">
      <alignment horizontal="center" vertical="center" wrapText="1"/>
    </xf>
    <xf numFmtId="166" fontId="29" fillId="27" borderId="0" xfId="0" applyNumberFormat="1" applyFont="1" applyFill="1" applyBorder="1" applyAlignment="1" applyProtection="1">
      <alignment horizontal="center" vertical="center" wrapText="1"/>
    </xf>
    <xf numFmtId="166" fontId="60" fillId="26" borderId="0" xfId="0" applyNumberFormat="1" applyFont="1" applyFill="1" applyBorder="1" applyAlignment="1" applyProtection="1">
      <alignment horizontal="center" vertical="center" wrapText="1"/>
    </xf>
    <xf numFmtId="10" fontId="11" fillId="6" borderId="4" xfId="3" applyNumberFormat="1" applyFont="1" applyFill="1" applyBorder="1" applyAlignment="1" applyProtection="1">
      <alignment horizontal="left" vertical="center" wrapText="1"/>
    </xf>
    <xf numFmtId="165" fontId="10" fillId="6" borderId="44" xfId="0" applyNumberFormat="1" applyFont="1" applyFill="1" applyBorder="1" applyAlignment="1" applyProtection="1">
      <alignment horizontal="left" vertical="center" wrapText="1"/>
    </xf>
    <xf numFmtId="10" fontId="11" fillId="0" borderId="4" xfId="0" applyNumberFormat="1" applyFont="1" applyFill="1" applyBorder="1" applyAlignment="1" applyProtection="1">
      <alignment horizontal="left" vertical="center" wrapText="1"/>
    </xf>
    <xf numFmtId="49" fontId="12" fillId="6" borderId="4" xfId="0" applyNumberFormat="1" applyFont="1" applyFill="1" applyBorder="1" applyAlignment="1" applyProtection="1">
      <alignment horizontal="left" vertical="center" wrapText="1"/>
    </xf>
    <xf numFmtId="6" fontId="11" fillId="0" borderId="44" xfId="0" applyNumberFormat="1" applyFont="1" applyFill="1" applyBorder="1" applyAlignment="1" applyProtection="1">
      <alignment horizontal="left" vertical="center" wrapText="1"/>
    </xf>
    <xf numFmtId="49" fontId="12" fillId="0" borderId="44" xfId="0" applyNumberFormat="1" applyFont="1" applyFill="1" applyBorder="1" applyAlignment="1" applyProtection="1">
      <alignment horizontal="left" vertical="center" wrapText="1"/>
    </xf>
    <xf numFmtId="49" fontId="12" fillId="6" borderId="51" xfId="0" applyNumberFormat="1" applyFont="1" applyFill="1" applyBorder="1" applyAlignment="1" applyProtection="1">
      <alignment horizontal="left" vertical="center" wrapText="1"/>
    </xf>
    <xf numFmtId="49" fontId="12" fillId="6" borderId="52" xfId="0" applyNumberFormat="1" applyFont="1" applyFill="1" applyBorder="1" applyAlignment="1" applyProtection="1">
      <alignment horizontal="left" vertical="center" wrapText="1"/>
    </xf>
    <xf numFmtId="49" fontId="12" fillId="6" borderId="45" xfId="0" applyNumberFormat="1" applyFont="1" applyFill="1" applyBorder="1" applyAlignment="1" applyProtection="1">
      <alignment horizontal="left" vertical="center" wrapText="1"/>
    </xf>
    <xf numFmtId="0" fontId="6" fillId="23" borderId="5" xfId="0" applyNumberFormat="1" applyFont="1" applyFill="1" applyBorder="1" applyAlignment="1" applyProtection="1">
      <alignment horizontal="center" vertical="center" wrapText="1"/>
      <protection locked="0"/>
    </xf>
    <xf numFmtId="0" fontId="2" fillId="6" borderId="44" xfId="0" applyNumberFormat="1" applyFont="1" applyFill="1" applyBorder="1" applyAlignment="1" applyProtection="1">
      <alignment horizontal="left" vertical="center" wrapText="1"/>
      <protection locked="0"/>
    </xf>
    <xf numFmtId="0" fontId="11" fillId="0" borderId="44" xfId="0" applyNumberFormat="1" applyFont="1" applyFill="1" applyBorder="1" applyAlignment="1" applyProtection="1">
      <alignment horizontal="left" vertical="center" wrapText="1"/>
      <protection locked="0"/>
    </xf>
    <xf numFmtId="0" fontId="1" fillId="0" borderId="44" xfId="0" applyNumberFormat="1" applyFont="1" applyFill="1" applyBorder="1" applyAlignment="1" applyProtection="1">
      <alignment horizontal="left" vertical="center" wrapText="1"/>
      <protection locked="0"/>
    </xf>
    <xf numFmtId="49" fontId="1" fillId="6" borderId="44" xfId="0" applyNumberFormat="1" applyFont="1" applyFill="1" applyBorder="1" applyAlignment="1" applyProtection="1">
      <alignment horizontal="left" vertical="center" wrapText="1"/>
    </xf>
    <xf numFmtId="0" fontId="12" fillId="29" borderId="44" xfId="0" applyNumberFormat="1" applyFont="1" applyFill="1" applyBorder="1" applyAlignment="1" applyProtection="1">
      <alignment horizontal="left" vertical="center" wrapText="1"/>
    </xf>
    <xf numFmtId="0" fontId="12" fillId="29" borderId="4" xfId="0" applyNumberFormat="1" applyFont="1" applyFill="1" applyBorder="1" applyAlignment="1" applyProtection="1">
      <alignment horizontal="left" vertical="center" wrapText="1"/>
    </xf>
    <xf numFmtId="0" fontId="12" fillId="29" borderId="4" xfId="0" applyNumberFormat="1" applyFont="1" applyFill="1" applyBorder="1" applyAlignment="1" applyProtection="1">
      <alignment horizontal="center" vertical="center" wrapText="1"/>
    </xf>
    <xf numFmtId="49" fontId="12" fillId="29" borderId="44" xfId="0" applyNumberFormat="1" applyFont="1" applyFill="1" applyBorder="1" applyAlignment="1" applyProtection="1">
      <alignment horizontal="left" vertical="center" wrapText="1"/>
    </xf>
    <xf numFmtId="49" fontId="12" fillId="29" borderId="4" xfId="0" applyNumberFormat="1" applyFont="1" applyFill="1" applyBorder="1" applyAlignment="1" applyProtection="1">
      <alignment horizontal="left" vertical="center" wrapText="1"/>
    </xf>
    <xf numFmtId="0" fontId="1" fillId="6" borderId="44" xfId="0" applyNumberFormat="1" applyFont="1" applyFill="1" applyBorder="1" applyAlignment="1" applyProtection="1">
      <alignment horizontal="left" vertical="center" wrapText="1"/>
    </xf>
    <xf numFmtId="9" fontId="12" fillId="29" borderId="44" xfId="0" applyNumberFormat="1" applyFont="1" applyFill="1" applyBorder="1" applyAlignment="1" applyProtection="1">
      <alignment horizontal="left" vertical="center" wrapText="1"/>
    </xf>
    <xf numFmtId="49" fontId="1" fillId="0" borderId="44" xfId="0" applyNumberFormat="1" applyFont="1" applyFill="1" applyBorder="1" applyAlignment="1" applyProtection="1">
      <alignment horizontal="left" vertical="center" wrapText="1"/>
      <protection locked="0"/>
    </xf>
    <xf numFmtId="0" fontId="2" fillId="0" borderId="4" xfId="0" applyNumberFormat="1" applyFont="1" applyFill="1" applyBorder="1" applyAlignment="1" applyProtection="1">
      <alignment horizontal="left" vertical="center" wrapText="1"/>
      <protection locked="0"/>
    </xf>
    <xf numFmtId="0" fontId="2" fillId="0" borderId="44" xfId="0" applyNumberFormat="1" applyFont="1" applyFill="1" applyBorder="1" applyAlignment="1" applyProtection="1">
      <alignment horizontal="left" vertical="center" wrapText="1"/>
      <protection locked="0"/>
    </xf>
    <xf numFmtId="0" fontId="2" fillId="0" borderId="45" xfId="0" applyNumberFormat="1" applyFont="1" applyFill="1" applyBorder="1" applyAlignment="1" applyProtection="1">
      <alignment horizontal="left" vertical="center" wrapText="1"/>
      <protection locked="0"/>
    </xf>
    <xf numFmtId="9" fontId="12" fillId="0" borderId="4" xfId="0" applyNumberFormat="1" applyFont="1" applyFill="1" applyBorder="1" applyAlignment="1" applyProtection="1">
      <alignment horizontal="left" vertical="center" wrapText="1"/>
      <protection locked="0"/>
    </xf>
    <xf numFmtId="9" fontId="12" fillId="0" borderId="4" xfId="0" applyNumberFormat="1" applyFont="1" applyFill="1" applyBorder="1" applyAlignment="1" applyProtection="1">
      <alignment horizontal="center" vertical="center" wrapText="1"/>
      <protection locked="0"/>
    </xf>
    <xf numFmtId="0" fontId="1" fillId="0" borderId="45" xfId="0" applyNumberFormat="1" applyFont="1" applyFill="1" applyBorder="1" applyAlignment="1" applyProtection="1">
      <alignment horizontal="left" vertical="center" wrapText="1"/>
      <protection locked="0"/>
    </xf>
    <xf numFmtId="0" fontId="4" fillId="0" borderId="3" xfId="0" applyNumberFormat="1" applyFont="1" applyFill="1" applyBorder="1" applyAlignment="1" applyProtection="1">
      <alignment horizontal="center" vertical="center" wrapText="1"/>
    </xf>
    <xf numFmtId="0" fontId="17" fillId="0" borderId="62"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0" fillId="0" borderId="0" xfId="0" applyNumberFormat="1" applyFill="1" applyAlignment="1" applyProtection="1">
      <alignment wrapText="1"/>
    </xf>
    <xf numFmtId="0" fontId="11" fillId="0" borderId="4" xfId="0" applyNumberFormat="1" applyFont="1" applyFill="1" applyBorder="1" applyAlignment="1" applyProtection="1">
      <alignment horizontal="left" vertical="center" wrapText="1"/>
      <protection locked="0"/>
    </xf>
    <xf numFmtId="0" fontId="11" fillId="0" borderId="45" xfId="0" applyNumberFormat="1" applyFont="1" applyFill="1" applyBorder="1" applyAlignment="1" applyProtection="1">
      <alignment horizontal="left" vertical="center" wrapText="1"/>
      <protection locked="0"/>
    </xf>
    <xf numFmtId="0" fontId="12" fillId="0" borderId="4" xfId="0" applyNumberFormat="1" applyFont="1" applyFill="1" applyBorder="1" applyAlignment="1" applyProtection="1">
      <alignment horizontal="left" vertical="center" wrapText="1"/>
      <protection locked="0"/>
    </xf>
    <xf numFmtId="10" fontId="1" fillId="0" borderId="44" xfId="0" applyNumberFormat="1" applyFont="1" applyFill="1" applyBorder="1" applyAlignment="1" applyProtection="1">
      <alignment horizontal="left" vertical="center" wrapText="1"/>
      <protection locked="0"/>
    </xf>
    <xf numFmtId="0" fontId="11" fillId="0" borderId="4" xfId="0" applyNumberFormat="1" applyFont="1" applyFill="1" applyBorder="1" applyAlignment="1" applyProtection="1">
      <alignment horizontal="center" vertical="center" wrapText="1"/>
      <protection locked="0"/>
    </xf>
    <xf numFmtId="0" fontId="12" fillId="0" borderId="45" xfId="0" applyNumberFormat="1" applyFont="1" applyFill="1" applyBorder="1" applyAlignment="1" applyProtection="1">
      <alignment horizontal="left" vertical="center" wrapText="1"/>
      <protection locked="0"/>
    </xf>
    <xf numFmtId="0" fontId="5" fillId="0" borderId="3" xfId="0" applyNumberFormat="1" applyFont="1" applyFill="1" applyBorder="1" applyAlignment="1" applyProtection="1">
      <alignment horizontal="center" vertical="center" wrapText="1"/>
    </xf>
    <xf numFmtId="0" fontId="12" fillId="0" borderId="44" xfId="0" applyNumberFormat="1" applyFont="1" applyFill="1" applyBorder="1" applyAlignment="1" applyProtection="1">
      <alignment horizontal="left" vertical="center" wrapText="1"/>
      <protection locked="0"/>
    </xf>
    <xf numFmtId="8" fontId="11" fillId="0" borderId="44" xfId="0" applyNumberFormat="1" applyFont="1" applyFill="1" applyBorder="1" applyAlignment="1" applyProtection="1">
      <alignment horizontal="left" vertical="center" wrapText="1"/>
      <protection locked="0"/>
    </xf>
    <xf numFmtId="8" fontId="11" fillId="0" borderId="4" xfId="0" applyNumberFormat="1" applyFont="1" applyFill="1" applyBorder="1" applyAlignment="1" applyProtection="1">
      <alignment horizontal="left" vertical="center" wrapText="1"/>
      <protection locked="0"/>
    </xf>
    <xf numFmtId="0" fontId="10" fillId="0" borderId="45" xfId="0" applyNumberFormat="1" applyFont="1" applyFill="1" applyBorder="1" applyAlignment="1" applyProtection="1">
      <alignment horizontal="left" vertical="center" wrapText="1"/>
      <protection locked="0"/>
    </xf>
    <xf numFmtId="9" fontId="11" fillId="0" borderId="44" xfId="0" applyNumberFormat="1" applyFont="1" applyFill="1" applyBorder="1" applyAlignment="1" applyProtection="1">
      <alignment horizontal="left" vertical="center" wrapText="1"/>
      <protection locked="0"/>
    </xf>
    <xf numFmtId="49" fontId="12" fillId="0" borderId="44" xfId="0" applyNumberFormat="1" applyFont="1" applyFill="1" applyBorder="1" applyAlignment="1" applyProtection="1">
      <alignment horizontal="left" vertical="center" wrapText="1"/>
      <protection locked="0"/>
    </xf>
    <xf numFmtId="8" fontId="2" fillId="0" borderId="44" xfId="0" applyNumberFormat="1" applyFont="1" applyFill="1" applyBorder="1" applyAlignment="1" applyProtection="1">
      <alignment horizontal="left" vertical="center" wrapText="1"/>
      <protection locked="0"/>
    </xf>
    <xf numFmtId="8" fontId="1" fillId="0" borderId="44" xfId="0" applyNumberFormat="1" applyFont="1" applyFill="1" applyBorder="1" applyAlignment="1" applyProtection="1">
      <alignment horizontal="left" vertical="center" wrapText="1"/>
      <protection locked="0"/>
    </xf>
    <xf numFmtId="0" fontId="17" fillId="0" borderId="66" xfId="0" applyFont="1" applyFill="1" applyBorder="1" applyAlignment="1" applyProtection="1">
      <alignment horizontal="center" vertical="center" wrapText="1"/>
    </xf>
    <xf numFmtId="0" fontId="17" fillId="0" borderId="67" xfId="0" applyFont="1" applyFill="1" applyBorder="1" applyAlignment="1" applyProtection="1">
      <alignment horizontal="center" vertical="center" wrapText="1"/>
    </xf>
    <xf numFmtId="10" fontId="2" fillId="0" borderId="44" xfId="0" applyNumberFormat="1" applyFont="1" applyFill="1" applyBorder="1" applyAlignment="1" applyProtection="1">
      <alignment horizontal="left" vertical="center" wrapText="1"/>
      <protection locked="0"/>
    </xf>
    <xf numFmtId="10" fontId="11" fillId="0" borderId="44" xfId="0" applyNumberFormat="1" applyFont="1" applyFill="1" applyBorder="1" applyAlignment="1" applyProtection="1">
      <alignment horizontal="left" vertical="center" wrapText="1"/>
      <protection locked="0"/>
    </xf>
    <xf numFmtId="10" fontId="10" fillId="0" borderId="4" xfId="0" applyNumberFormat="1" applyFont="1" applyFill="1" applyBorder="1" applyAlignment="1" applyProtection="1">
      <alignment horizontal="center" vertical="center" wrapText="1"/>
      <protection locked="0"/>
    </xf>
    <xf numFmtId="0" fontId="1" fillId="0" borderId="4" xfId="0" applyNumberFormat="1" applyFont="1" applyFill="1" applyBorder="1" applyAlignment="1" applyProtection="1">
      <alignment horizontal="left" vertical="center" wrapText="1"/>
      <protection locked="0"/>
    </xf>
    <xf numFmtId="9" fontId="11" fillId="0" borderId="4" xfId="0" applyNumberFormat="1" applyFont="1" applyFill="1" applyBorder="1" applyAlignment="1" applyProtection="1">
      <alignment horizontal="center" vertical="center" wrapText="1"/>
      <protection locked="0"/>
    </xf>
    <xf numFmtId="0" fontId="29" fillId="0" borderId="62" xfId="0" applyFont="1" applyFill="1" applyBorder="1" applyAlignment="1" applyProtection="1">
      <alignment horizontal="center" vertical="center" wrapText="1"/>
    </xf>
    <xf numFmtId="0" fontId="1" fillId="0" borderId="4"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vertical="center" wrapText="1"/>
      <protection locked="0"/>
    </xf>
    <xf numFmtId="49" fontId="2" fillId="0" borderId="44" xfId="0" applyNumberFormat="1" applyFont="1" applyFill="1" applyBorder="1" applyAlignment="1" applyProtection="1">
      <alignment horizontal="left" vertical="center" wrapText="1"/>
      <protection locked="0"/>
    </xf>
    <xf numFmtId="0" fontId="55" fillId="0" borderId="44" xfId="0" applyNumberFormat="1" applyFont="1" applyFill="1" applyBorder="1" applyAlignment="1" applyProtection="1">
      <alignment horizontal="left" vertical="center" wrapText="1"/>
      <protection locked="0"/>
    </xf>
    <xf numFmtId="0" fontId="10" fillId="0" borderId="44" xfId="0" applyNumberFormat="1" applyFont="1" applyFill="1" applyBorder="1" applyAlignment="1" applyProtection="1">
      <alignment horizontal="left" vertical="center" wrapText="1"/>
      <protection locked="0"/>
    </xf>
    <xf numFmtId="9" fontId="1" fillId="0" borderId="44" xfId="0" applyNumberFormat="1" applyFont="1" applyFill="1" applyBorder="1" applyAlignment="1" applyProtection="1">
      <alignment horizontal="left" vertical="center" wrapText="1"/>
      <protection locked="0"/>
    </xf>
    <xf numFmtId="9" fontId="12" fillId="0" borderId="44" xfId="0" applyNumberFormat="1" applyFont="1" applyFill="1" applyBorder="1" applyAlignment="1" applyProtection="1">
      <alignment horizontal="center" vertical="center" wrapText="1"/>
      <protection locked="0"/>
    </xf>
    <xf numFmtId="10" fontId="11" fillId="0" borderId="4" xfId="0" applyNumberFormat="1" applyFont="1" applyFill="1" applyBorder="1" applyAlignment="1" applyProtection="1">
      <alignment horizontal="center" vertical="center" wrapText="1"/>
      <protection locked="0"/>
    </xf>
    <xf numFmtId="10" fontId="11" fillId="0" borderId="4" xfId="0" applyNumberFormat="1" applyFont="1" applyFill="1" applyBorder="1" applyAlignment="1" applyProtection="1">
      <alignment horizontal="left" vertical="center" wrapText="1"/>
      <protection locked="0"/>
    </xf>
    <xf numFmtId="49" fontId="1" fillId="0" borderId="4" xfId="0" applyNumberFormat="1" applyFont="1" applyFill="1" applyBorder="1" applyAlignment="1" applyProtection="1">
      <alignment horizontal="left" vertical="center" wrapText="1"/>
      <protection locked="0"/>
    </xf>
    <xf numFmtId="0" fontId="2" fillId="0" borderId="44" xfId="0" applyFont="1" applyFill="1" applyBorder="1" applyAlignment="1" applyProtection="1">
      <alignment vertical="center" wrapText="1"/>
      <protection locked="0"/>
    </xf>
    <xf numFmtId="9" fontId="11" fillId="0" borderId="4" xfId="0" applyNumberFormat="1" applyFont="1" applyFill="1" applyBorder="1" applyAlignment="1" applyProtection="1">
      <alignment horizontal="left" vertical="center" wrapText="1"/>
      <protection locked="0"/>
    </xf>
    <xf numFmtId="0" fontId="55" fillId="0" borderId="4" xfId="0" applyNumberFormat="1" applyFont="1" applyFill="1" applyBorder="1" applyAlignment="1" applyProtection="1">
      <alignment horizontal="left" vertical="center" wrapText="1"/>
      <protection locked="0"/>
    </xf>
    <xf numFmtId="0" fontId="0" fillId="0" borderId="1" xfId="0" applyNumberFormat="1" applyFill="1" applyBorder="1" applyAlignment="1" applyProtection="1">
      <alignment horizontal="left" vertical="center" wrapText="1"/>
    </xf>
    <xf numFmtId="0" fontId="0" fillId="0" borderId="1" xfId="0" applyNumberFormat="1" applyFill="1" applyBorder="1" applyAlignment="1" applyProtection="1">
      <alignment horizontal="center" vertical="center" wrapText="1"/>
    </xf>
    <xf numFmtId="0" fontId="8" fillId="0" borderId="1" xfId="0" applyNumberFormat="1" applyFont="1" applyFill="1" applyBorder="1" applyAlignment="1" applyProtection="1">
      <alignment horizontal="left" vertical="center" wrapText="1"/>
    </xf>
    <xf numFmtId="0" fontId="11" fillId="29" borderId="4" xfId="0" applyNumberFormat="1" applyFont="1" applyFill="1" applyBorder="1" applyAlignment="1" applyProtection="1">
      <alignment horizontal="center" vertical="center" wrapText="1"/>
      <protection locked="0"/>
    </xf>
    <xf numFmtId="166" fontId="29" fillId="27" borderId="68" xfId="0" applyNumberFormat="1" applyFont="1" applyFill="1" applyBorder="1" applyAlignment="1" applyProtection="1">
      <alignment horizontal="center" vertical="center" wrapText="1"/>
    </xf>
    <xf numFmtId="166" fontId="29" fillId="27" borderId="0" xfId="0" applyNumberFormat="1" applyFont="1" applyFill="1" applyBorder="1" applyAlignment="1" applyProtection="1">
      <alignment horizontal="center" vertical="center" wrapText="1"/>
    </xf>
    <xf numFmtId="166" fontId="29" fillId="27" borderId="69" xfId="0" applyNumberFormat="1" applyFont="1" applyFill="1" applyBorder="1" applyAlignment="1" applyProtection="1">
      <alignment horizontal="center" vertical="center" wrapText="1"/>
    </xf>
    <xf numFmtId="0" fontId="6" fillId="12" borderId="1" xfId="0" applyNumberFormat="1" applyFont="1" applyFill="1" applyBorder="1" applyAlignment="1" applyProtection="1">
      <alignment horizontal="center" vertical="center"/>
    </xf>
    <xf numFmtId="0" fontId="6" fillId="28" borderId="1" xfId="0" applyNumberFormat="1" applyFont="1" applyFill="1" applyBorder="1" applyAlignment="1" applyProtection="1">
      <alignment horizontal="center" vertical="center"/>
    </xf>
    <xf numFmtId="0" fontId="6" fillId="23" borderId="1" xfId="0" applyNumberFormat="1" applyFont="1" applyFill="1" applyBorder="1" applyAlignment="1" applyProtection="1">
      <alignment horizontal="center" vertical="center"/>
    </xf>
    <xf numFmtId="166" fontId="60" fillId="26" borderId="68" xfId="0" applyNumberFormat="1" applyFont="1" applyFill="1" applyBorder="1" applyAlignment="1" applyProtection="1">
      <alignment horizontal="center" vertical="center" wrapText="1"/>
    </xf>
    <xf numFmtId="166" fontId="60" fillId="26" borderId="0" xfId="0" applyNumberFormat="1" applyFont="1" applyFill="1" applyBorder="1" applyAlignment="1" applyProtection="1">
      <alignment horizontal="center" vertical="center" wrapText="1"/>
    </xf>
    <xf numFmtId="166" fontId="60" fillId="26" borderId="69" xfId="0" applyNumberFormat="1" applyFont="1" applyFill="1" applyBorder="1" applyAlignment="1" applyProtection="1">
      <alignment horizontal="center" vertical="center" wrapText="1"/>
    </xf>
    <xf numFmtId="0" fontId="23" fillId="6" borderId="20" xfId="0" applyFont="1" applyFill="1" applyBorder="1" applyAlignment="1">
      <alignment horizontal="center" vertical="center" wrapText="1"/>
    </xf>
    <xf numFmtId="0" fontId="23" fillId="6" borderId="25" xfId="0" applyFont="1" applyFill="1" applyBorder="1" applyAlignment="1">
      <alignment horizontal="center" vertical="center" wrapText="1"/>
    </xf>
    <xf numFmtId="0" fontId="32" fillId="14" borderId="21" xfId="0" applyFont="1" applyFill="1" applyBorder="1" applyAlignment="1">
      <alignment horizontal="center" vertical="center" wrapText="1"/>
    </xf>
    <xf numFmtId="0" fontId="32" fillId="14" borderId="22" xfId="0" applyFont="1" applyFill="1" applyBorder="1" applyAlignment="1">
      <alignment horizontal="center" vertical="center" wrapText="1"/>
    </xf>
    <xf numFmtId="0" fontId="33" fillId="8" borderId="23" xfId="0" applyFont="1" applyFill="1" applyBorder="1" applyAlignment="1">
      <alignment horizontal="center" vertical="center" wrapText="1"/>
    </xf>
    <xf numFmtId="0" fontId="33" fillId="8" borderId="24" xfId="0" applyFont="1" applyFill="1" applyBorder="1" applyAlignment="1">
      <alignment horizontal="center" vertical="center" wrapText="1"/>
    </xf>
    <xf numFmtId="0" fontId="32" fillId="9" borderId="34" xfId="0" applyFont="1" applyFill="1" applyBorder="1" applyAlignment="1">
      <alignment horizontal="center" vertical="center" wrapText="1"/>
    </xf>
    <xf numFmtId="10" fontId="4" fillId="0" borderId="12" xfId="0" applyNumberFormat="1" applyFont="1" applyFill="1" applyBorder="1" applyAlignment="1" applyProtection="1">
      <alignment horizontal="center" vertical="center" wrapText="1"/>
    </xf>
    <xf numFmtId="10" fontId="19" fillId="9" borderId="12" xfId="0" applyNumberFormat="1" applyFont="1" applyFill="1" applyBorder="1" applyAlignment="1" applyProtection="1">
      <alignment horizontal="center" vertical="center" wrapText="1"/>
    </xf>
    <xf numFmtId="10" fontId="19" fillId="10" borderId="12" xfId="0" applyNumberFormat="1" applyFont="1" applyFill="1" applyBorder="1" applyAlignment="1" applyProtection="1">
      <alignment horizontal="center" vertical="center" wrapText="1"/>
    </xf>
    <xf numFmtId="10" fontId="4" fillId="0" borderId="13" xfId="0" applyNumberFormat="1" applyFont="1" applyFill="1" applyBorder="1" applyAlignment="1" applyProtection="1">
      <alignment horizontal="center" vertical="center" wrapText="1"/>
    </xf>
    <xf numFmtId="10" fontId="4" fillId="0" borderId="14" xfId="0" applyNumberFormat="1" applyFont="1" applyFill="1" applyBorder="1" applyAlignment="1" applyProtection="1">
      <alignment horizontal="center" vertical="center" wrapText="1"/>
    </xf>
    <xf numFmtId="10" fontId="4" fillId="0" borderId="15" xfId="0" applyNumberFormat="1" applyFont="1" applyFill="1" applyBorder="1" applyAlignment="1" applyProtection="1">
      <alignment horizontal="center" vertical="center" wrapText="1"/>
    </xf>
    <xf numFmtId="10" fontId="18" fillId="8" borderId="13" xfId="0" applyNumberFormat="1" applyFont="1" applyFill="1" applyBorder="1" applyAlignment="1" applyProtection="1">
      <alignment horizontal="center" vertical="center" wrapText="1"/>
    </xf>
    <xf numFmtId="10" fontId="18" fillId="8" borderId="14" xfId="0" applyNumberFormat="1" applyFont="1" applyFill="1" applyBorder="1" applyAlignment="1" applyProtection="1">
      <alignment horizontal="center" vertical="center" wrapText="1"/>
    </xf>
    <xf numFmtId="10" fontId="18" fillId="8" borderId="15" xfId="0" applyNumberFormat="1" applyFont="1" applyFill="1" applyBorder="1" applyAlignment="1" applyProtection="1">
      <alignment horizontal="center" vertical="center" wrapText="1"/>
    </xf>
    <xf numFmtId="10" fontId="18" fillId="8" borderId="12" xfId="0" applyNumberFormat="1" applyFont="1" applyFill="1" applyBorder="1" applyAlignment="1" applyProtection="1">
      <alignment horizontal="center" vertical="center" wrapText="1"/>
    </xf>
    <xf numFmtId="0" fontId="7" fillId="11" borderId="13" xfId="0" applyFont="1" applyFill="1" applyBorder="1" applyAlignment="1" applyProtection="1">
      <alignment vertical="center" wrapText="1"/>
    </xf>
    <xf numFmtId="0" fontId="7" fillId="11" borderId="14" xfId="0" applyFont="1" applyFill="1" applyBorder="1" applyAlignment="1" applyProtection="1">
      <alignment vertical="center" wrapText="1"/>
    </xf>
    <xf numFmtId="0" fontId="7" fillId="11" borderId="15" xfId="0" applyFont="1" applyFill="1" applyBorder="1" applyAlignment="1" applyProtection="1">
      <alignment vertical="center" wrapText="1"/>
    </xf>
    <xf numFmtId="0" fontId="7" fillId="0" borderId="18" xfId="0" applyFont="1" applyFill="1" applyBorder="1" applyAlignment="1" applyProtection="1">
      <alignment horizontal="center" vertical="center" wrapText="1"/>
    </xf>
    <xf numFmtId="0" fontId="7" fillId="0" borderId="46" xfId="0" applyFont="1" applyFill="1" applyBorder="1" applyAlignment="1" applyProtection="1">
      <alignment horizontal="center" vertical="center" wrapText="1"/>
    </xf>
    <xf numFmtId="0" fontId="7" fillId="0" borderId="47" xfId="0" applyFont="1" applyFill="1" applyBorder="1" applyAlignment="1" applyProtection="1">
      <alignment horizontal="center" vertical="center" wrapText="1"/>
    </xf>
    <xf numFmtId="10" fontId="25" fillId="0" borderId="0" xfId="0" applyNumberFormat="1" applyFont="1" applyFill="1" applyAlignment="1" applyProtection="1">
      <alignment horizontal="center" vertical="center"/>
    </xf>
    <xf numFmtId="0" fontId="25" fillId="0" borderId="0" xfId="0" applyFont="1" applyFill="1" applyAlignment="1" applyProtection="1">
      <alignment horizontal="center" vertical="center"/>
    </xf>
    <xf numFmtId="10" fontId="19" fillId="6" borderId="0" xfId="0" applyNumberFormat="1" applyFont="1" applyFill="1" applyBorder="1" applyAlignment="1" applyProtection="1">
      <alignment horizontal="center" vertical="center" wrapText="1"/>
    </xf>
    <xf numFmtId="10" fontId="19" fillId="10" borderId="18" xfId="0" applyNumberFormat="1" applyFont="1" applyFill="1" applyBorder="1" applyAlignment="1" applyProtection="1">
      <alignment horizontal="center" vertical="center" wrapText="1"/>
    </xf>
    <xf numFmtId="10" fontId="19" fillId="10" borderId="47" xfId="0" applyNumberFormat="1" applyFont="1" applyFill="1" applyBorder="1" applyAlignment="1" applyProtection="1">
      <alignment horizontal="center" vertical="center" wrapText="1"/>
    </xf>
    <xf numFmtId="0" fontId="23" fillId="13" borderId="0" xfId="0" applyFont="1" applyFill="1" applyBorder="1" applyAlignment="1">
      <alignment horizontal="left" vertical="center" wrapText="1"/>
    </xf>
    <xf numFmtId="10" fontId="4" fillId="0" borderId="36" xfId="0" applyNumberFormat="1" applyFont="1" applyFill="1" applyBorder="1" applyAlignment="1" applyProtection="1">
      <alignment horizontal="center" vertical="center" wrapText="1"/>
    </xf>
    <xf numFmtId="10" fontId="19" fillId="9" borderId="36" xfId="0" applyNumberFormat="1" applyFont="1" applyFill="1" applyBorder="1" applyAlignment="1" applyProtection="1">
      <alignment horizontal="center" vertical="center" wrapText="1"/>
    </xf>
    <xf numFmtId="10" fontId="19" fillId="15" borderId="36" xfId="0" applyNumberFormat="1" applyFont="1" applyFill="1" applyBorder="1" applyAlignment="1" applyProtection="1">
      <alignment horizontal="center" vertical="center" wrapText="1"/>
    </xf>
    <xf numFmtId="10" fontId="4" fillId="0" borderId="37" xfId="0" applyNumberFormat="1" applyFont="1" applyFill="1" applyBorder="1" applyAlignment="1" applyProtection="1">
      <alignment horizontal="center" vertical="center" wrapText="1"/>
    </xf>
    <xf numFmtId="10" fontId="4" fillId="0" borderId="38" xfId="0" applyNumberFormat="1" applyFont="1" applyFill="1" applyBorder="1" applyAlignment="1" applyProtection="1">
      <alignment horizontal="center" vertical="center" wrapText="1"/>
    </xf>
    <xf numFmtId="10" fontId="4" fillId="0" borderId="39" xfId="0" applyNumberFormat="1" applyFont="1" applyFill="1" applyBorder="1" applyAlignment="1" applyProtection="1">
      <alignment horizontal="center" vertical="center" wrapText="1"/>
    </xf>
    <xf numFmtId="10" fontId="4" fillId="0" borderId="37" xfId="0" applyNumberFormat="1" applyFont="1" applyFill="1" applyBorder="1" applyAlignment="1" applyProtection="1">
      <alignment vertical="center" wrapText="1"/>
    </xf>
    <xf numFmtId="10" fontId="4" fillId="0" borderId="38" xfId="0" applyNumberFormat="1" applyFont="1" applyFill="1" applyBorder="1" applyAlignment="1" applyProtection="1">
      <alignment vertical="center" wrapText="1"/>
    </xf>
    <xf numFmtId="10" fontId="4" fillId="0" borderId="39" xfId="0" applyNumberFormat="1" applyFont="1" applyFill="1" applyBorder="1" applyAlignment="1" applyProtection="1">
      <alignment vertical="center" wrapText="1"/>
    </xf>
    <xf numFmtId="10" fontId="18" fillId="8" borderId="37" xfId="0" applyNumberFormat="1" applyFont="1" applyFill="1" applyBorder="1" applyAlignment="1" applyProtection="1">
      <alignment horizontal="center" vertical="center" wrapText="1"/>
    </xf>
    <xf numFmtId="10" fontId="18" fillId="8" borderId="38" xfId="0" applyNumberFormat="1" applyFont="1" applyFill="1" applyBorder="1" applyAlignment="1" applyProtection="1">
      <alignment horizontal="center" vertical="center" wrapText="1"/>
    </xf>
    <xf numFmtId="10" fontId="18" fillId="8" borderId="39" xfId="0" applyNumberFormat="1" applyFont="1" applyFill="1" applyBorder="1" applyAlignment="1" applyProtection="1">
      <alignment horizontal="center" vertical="center" wrapText="1"/>
    </xf>
    <xf numFmtId="0" fontId="7" fillId="8" borderId="37" xfId="0" applyFont="1" applyFill="1" applyBorder="1" applyAlignment="1" applyProtection="1">
      <alignment vertical="center" wrapText="1"/>
    </xf>
    <xf numFmtId="0" fontId="7" fillId="8" borderId="38" xfId="0" applyFont="1" applyFill="1" applyBorder="1" applyAlignment="1" applyProtection="1">
      <alignment vertical="center" wrapText="1"/>
    </xf>
    <xf numFmtId="0" fontId="7" fillId="8" borderId="39" xfId="0" applyFont="1" applyFill="1" applyBorder="1" applyAlignment="1" applyProtection="1">
      <alignment vertical="center" wrapText="1"/>
    </xf>
    <xf numFmtId="0" fontId="7" fillId="0" borderId="48" xfId="0" applyFont="1" applyFill="1" applyBorder="1" applyAlignment="1" applyProtection="1">
      <alignment horizontal="center" vertical="center" wrapText="1"/>
    </xf>
    <xf numFmtId="0" fontId="7" fillId="0" borderId="49" xfId="0" applyFont="1" applyFill="1" applyBorder="1" applyAlignment="1" applyProtection="1">
      <alignment horizontal="center" vertical="center" wrapText="1"/>
    </xf>
    <xf numFmtId="0" fontId="7" fillId="0" borderId="50" xfId="0" applyFont="1" applyFill="1" applyBorder="1" applyAlignment="1" applyProtection="1">
      <alignment horizontal="center" vertical="center" wrapText="1"/>
    </xf>
    <xf numFmtId="0" fontId="23" fillId="16" borderId="0" xfId="0" applyFont="1" applyFill="1" applyBorder="1" applyAlignment="1">
      <alignment horizontal="left" vertical="center" wrapText="1"/>
    </xf>
    <xf numFmtId="0" fontId="64" fillId="0" borderId="0" xfId="0" applyNumberFormat="1" applyFont="1" applyFill="1" applyAlignment="1" applyProtection="1">
      <alignment vertical="top" wrapText="1"/>
    </xf>
  </cellXfs>
  <cellStyles count="4">
    <cellStyle name="Hyperlink" xfId="1" builtinId="8"/>
    <cellStyle name="Normal" xfId="0" builtinId="0"/>
    <cellStyle name="Normal 2 2" xfId="2"/>
    <cellStyle name="Percent" xfId="3" builtinId="5"/>
  </cellStyles>
  <dxfs count="4199">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006600"/>
      <color rgb="FF339933"/>
      <color rgb="FFFF3300"/>
      <color rgb="FF003366"/>
      <color rgb="FFCC0000"/>
      <color rgb="FF99CCFF"/>
      <color rgb="FF0099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0.93258426966292141</c:v>
                </c:pt>
                <c:pt idx="1">
                  <c:v>0.94214876033057848</c:v>
                </c:pt>
                <c:pt idx="2">
                  <c:v>0.93650793650793651</c:v>
                </c:pt>
                <c:pt idx="3">
                  <c:v>0.93846153846153846</c:v>
                </c:pt>
              </c:numCache>
            </c:numRef>
          </c:val>
          <c:smooth val="0"/>
          <c:extLs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6.741573033707865E-2</c:v>
                </c:pt>
                <c:pt idx="1">
                  <c:v>1.6528925619834711E-2</c:v>
                </c:pt>
                <c:pt idx="2">
                  <c:v>2.3809523809523808E-2</c:v>
                </c:pt>
                <c:pt idx="3">
                  <c:v>1.5384615384615385E-2</c:v>
                </c:pt>
              </c:numCache>
            </c:numRef>
          </c:val>
          <c:smooth val="0"/>
          <c:extLs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0</c:v>
                </c:pt>
                <c:pt idx="1">
                  <c:v>4.1322314049586778E-2</c:v>
                </c:pt>
                <c:pt idx="2">
                  <c:v>3.968253968253968E-2</c:v>
                </c:pt>
                <c:pt idx="3">
                  <c:v>4.6153846153846156E-2</c:v>
                </c:pt>
              </c:numCache>
            </c:numRef>
          </c:val>
          <c:smooth val="0"/>
          <c:extLs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334183424"/>
        <c:axId val="334179896"/>
      </c:lineChart>
      <c:catAx>
        <c:axId val="334183424"/>
        <c:scaling>
          <c:orientation val="minMax"/>
        </c:scaling>
        <c:delete val="0"/>
        <c:axPos val="b"/>
        <c:numFmt formatCode="General" sourceLinked="0"/>
        <c:majorTickMark val="out"/>
        <c:minorTickMark val="none"/>
        <c:tickLblPos val="nextTo"/>
        <c:txPr>
          <a:bodyPr/>
          <a:lstStyle/>
          <a:p>
            <a:pPr>
              <a:defRPr lang="en-US"/>
            </a:pPr>
            <a:endParaRPr lang="en-US"/>
          </a:p>
        </c:txPr>
        <c:crossAx val="334179896"/>
        <c:crosses val="autoZero"/>
        <c:auto val="1"/>
        <c:lblAlgn val="ctr"/>
        <c:lblOffset val="100"/>
        <c:noMultiLvlLbl val="0"/>
      </c:catAx>
      <c:valAx>
        <c:axId val="33417989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418342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paperSize="8"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Improving Local Democracy-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991-448C-94F6-A903985AC430}"/>
              </c:ext>
            </c:extLst>
          </c:dPt>
          <c:dPt>
            <c:idx val="1"/>
            <c:bubble3D val="0"/>
            <c:spPr>
              <a:solidFill>
                <a:srgbClr val="FFC000"/>
              </a:solidFill>
            </c:spPr>
            <c:extLst>
              <c:ext xmlns:c16="http://schemas.microsoft.com/office/drawing/2014/chart" uri="{C3380CC4-5D6E-409C-BE32-E72D297353CC}">
                <c16:uniqueId val="{00000001-7991-448C-94F6-A903985AC430}"/>
              </c:ext>
            </c:extLst>
          </c:dPt>
          <c:dPt>
            <c:idx val="2"/>
            <c:bubble3D val="0"/>
            <c:spPr>
              <a:solidFill>
                <a:srgbClr val="FF0000"/>
              </a:solidFill>
            </c:spPr>
            <c:extLs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1</c:v>
                </c:pt>
                <c:pt idx="1">
                  <c:v>0</c:v>
                </c:pt>
                <c:pt idx="2">
                  <c:v>0</c:v>
                </c:pt>
              </c:numCache>
            </c:numRef>
          </c:val>
          <c:extLs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Creating a prosperous East Staffordshire</a:t>
            </a:r>
            <a:r>
              <a:rPr lang="en-US" sz="1800" b="1" i="0" baseline="0"/>
              <a:t>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26-4C92-9DA5-F959AE20197F}"/>
              </c:ext>
            </c:extLst>
          </c:dPt>
          <c:dPt>
            <c:idx val="1"/>
            <c:bubble3D val="0"/>
            <c:spPr>
              <a:solidFill>
                <a:srgbClr val="FFC000"/>
              </a:solidFill>
            </c:spPr>
            <c:extLst>
              <c:ext xmlns:c16="http://schemas.microsoft.com/office/drawing/2014/chart" uri="{C3380CC4-5D6E-409C-BE32-E72D297353CC}">
                <c16:uniqueId val="{00000001-7626-4C92-9DA5-F959AE20197F}"/>
              </c:ext>
            </c:extLst>
          </c:dPt>
          <c:dPt>
            <c:idx val="2"/>
            <c:bubble3D val="0"/>
            <c:spPr>
              <a:solidFill>
                <a:srgbClr val="FF0000"/>
              </a:solidFill>
            </c:spPr>
            <c:extLst>
              <c:ext xmlns:c16="http://schemas.microsoft.com/office/drawing/2014/chart" uri="{C3380CC4-5D6E-409C-BE32-E72D297353CC}">
                <c16:uniqueId val="{00000002-7626-4C92-9DA5-F959AE20197F}"/>
              </c:ext>
            </c:extLst>
          </c:dPt>
          <c:cat>
            <c:strRef>
              <c:f>'2b. Charts by Priority'!$AY$39:$AY$41</c:f>
              <c:strCache>
                <c:ptCount val="3"/>
                <c:pt idx="0">
                  <c:v>Green</c:v>
                </c:pt>
                <c:pt idx="1">
                  <c:v>Amber</c:v>
                </c:pt>
                <c:pt idx="2">
                  <c:v>Red</c:v>
                </c:pt>
              </c:strCache>
            </c:strRef>
          </c:cat>
          <c:val>
            <c:numRef>
              <c:f>'2b. Charts by Priority'!$BA$39:$BA$41</c:f>
              <c:numCache>
                <c:formatCode>0.00%</c:formatCode>
                <c:ptCount val="3"/>
                <c:pt idx="0">
                  <c:v>1</c:v>
                </c:pt>
                <c:pt idx="1">
                  <c:v>0</c:v>
                </c:pt>
                <c:pt idx="2">
                  <c:v>0</c:v>
                </c:pt>
              </c:numCache>
            </c:numRef>
          </c:val>
          <c:extLs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Developing a Green New Deal - </a:t>
            </a:r>
            <a:r>
              <a:rPr lang="en-US" sz="1800" b="1" i="0" baseline="0"/>
              <a:t>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8C3-4D15-B08D-6B38A26E9AA9}"/>
              </c:ext>
            </c:extLst>
          </c:dPt>
          <c:dPt>
            <c:idx val="1"/>
            <c:bubble3D val="0"/>
            <c:spPr>
              <a:solidFill>
                <a:srgbClr val="FFC000"/>
              </a:solidFill>
            </c:spPr>
            <c:extLst>
              <c:ext xmlns:c16="http://schemas.microsoft.com/office/drawing/2014/chart" uri="{C3380CC4-5D6E-409C-BE32-E72D297353CC}">
                <c16:uniqueId val="{00000001-88C3-4D15-B08D-6B38A26E9AA9}"/>
              </c:ext>
            </c:extLst>
          </c:dPt>
          <c:dPt>
            <c:idx val="2"/>
            <c:bubble3D val="0"/>
            <c:spPr>
              <a:solidFill>
                <a:srgbClr val="FF0000"/>
              </a:solidFill>
            </c:spPr>
            <c:extLst>
              <c:ext xmlns:c16="http://schemas.microsoft.com/office/drawing/2014/chart" uri="{C3380CC4-5D6E-409C-BE32-E72D297353CC}">
                <c16:uniqueId val="{00000002-88C3-4D15-B08D-6B38A26E9AA9}"/>
              </c:ext>
            </c:extLst>
          </c:dPt>
          <c:cat>
            <c:strRef>
              <c:f>'2b. Charts by Priority'!$AY$55:$AY$57</c:f>
              <c:strCache>
                <c:ptCount val="3"/>
                <c:pt idx="0">
                  <c:v>Green</c:v>
                </c:pt>
                <c:pt idx="1">
                  <c:v>Amber</c:v>
                </c:pt>
                <c:pt idx="2">
                  <c:v>Red</c:v>
                </c:pt>
              </c:strCache>
            </c:strRef>
          </c:cat>
          <c:val>
            <c:numRef>
              <c:f>'2b. Charts by Priority'!$BA$55:$BA$57</c:f>
              <c:numCache>
                <c:formatCode>0.00%</c:formatCode>
                <c:ptCount val="3"/>
                <c:pt idx="0">
                  <c:v>1</c:v>
                </c:pt>
                <c:pt idx="1">
                  <c:v>0</c:v>
                </c:pt>
                <c:pt idx="2">
                  <c:v>0</c:v>
                </c:pt>
              </c:numCache>
            </c:numRef>
          </c:val>
          <c:extLs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A76D-4A4D-AF29-27A678BFA3C0}"/>
              </c:ext>
            </c:extLst>
          </c:dPt>
          <c:dPt>
            <c:idx val="1"/>
            <c:bubble3D val="0"/>
            <c:spPr>
              <a:solidFill>
                <a:srgbClr val="FFC000"/>
              </a:solidFill>
            </c:spPr>
            <c:extLst>
              <c:ext xmlns:c16="http://schemas.microsoft.com/office/drawing/2014/chart" uri="{C3380CC4-5D6E-409C-BE32-E72D297353CC}">
                <c16:uniqueId val="{00000001-A76D-4A4D-AF29-27A678BFA3C0}"/>
              </c:ext>
            </c:extLst>
          </c:dPt>
          <c:dPt>
            <c:idx val="2"/>
            <c:bubble3D val="0"/>
            <c:spPr>
              <a:solidFill>
                <a:srgbClr val="FF0000"/>
              </a:solidFill>
            </c:spPr>
            <c:extLst>
              <c:ext xmlns:c16="http://schemas.microsoft.com/office/drawing/2014/chart" uri="{C3380CC4-5D6E-409C-BE32-E72D297353CC}">
                <c16:uniqueId val="{00000002-A76D-4A4D-AF29-27A678BFA3C0}"/>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'2b. Charts by Priority'!$AY$7:$AY$9</c:f>
              <c:strCache>
                <c:ptCount val="3"/>
                <c:pt idx="0">
                  <c:v>Green</c:v>
                </c:pt>
                <c:pt idx="1">
                  <c:v>Amber</c:v>
                </c:pt>
                <c:pt idx="2">
                  <c:v>Red</c:v>
                </c:pt>
              </c:strCache>
            </c:strRef>
          </c:cat>
          <c:val>
            <c:numRef>
              <c:f>'2b. Charts by Priority'!$BB$7:$BB$9</c:f>
              <c:numCache>
                <c:formatCode>0.00%</c:formatCode>
                <c:ptCount val="3"/>
                <c:pt idx="0">
                  <c:v>0.93650793650793651</c:v>
                </c:pt>
                <c:pt idx="1">
                  <c:v>2.3809523809523808E-2</c:v>
                </c:pt>
                <c:pt idx="2">
                  <c:v>3.968253968253968E-2</c:v>
                </c:pt>
              </c:numCache>
            </c:numRef>
          </c:val>
          <c:extLst>
            <c:ext xmlns:c16="http://schemas.microsoft.com/office/drawing/2014/chart" uri="{C3380CC4-5D6E-409C-BE32-E72D297353CC}">
              <c16:uniqueId val="{00000003-A76D-4A4D-AF29-27A678BFA3C0}"/>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51C-4A11-9328-12E5957BA4BE}"/>
              </c:ext>
            </c:extLst>
          </c:dPt>
          <c:dPt>
            <c:idx val="1"/>
            <c:bubble3D val="0"/>
            <c:spPr>
              <a:solidFill>
                <a:srgbClr val="FFC000"/>
              </a:solidFill>
            </c:spPr>
            <c:extLst>
              <c:ext xmlns:c16="http://schemas.microsoft.com/office/drawing/2014/chart" uri="{C3380CC4-5D6E-409C-BE32-E72D297353CC}">
                <c16:uniqueId val="{00000001-951C-4A11-9328-12E5957BA4BE}"/>
              </c:ext>
            </c:extLst>
          </c:dPt>
          <c:dPt>
            <c:idx val="2"/>
            <c:bubble3D val="0"/>
            <c:spPr>
              <a:solidFill>
                <a:srgbClr val="FF0000"/>
              </a:solidFill>
            </c:spPr>
            <c:extLs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0.93846153846153846</c:v>
                </c:pt>
                <c:pt idx="1">
                  <c:v>1.5384615384615385E-2</c:v>
                </c:pt>
                <c:pt idx="2">
                  <c:v>4.6153846153846156E-2</c:v>
                </c:pt>
              </c:numCache>
            </c:numRef>
          </c:val>
          <c:extLs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Improving Local Democracy-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41-4598-B934-C23B09C1EA21}"/>
              </c:ext>
            </c:extLst>
          </c:dPt>
          <c:dPt>
            <c:idx val="1"/>
            <c:bubble3D val="0"/>
            <c:spPr>
              <a:solidFill>
                <a:srgbClr val="FFC000"/>
              </a:solidFill>
            </c:spPr>
            <c:extLst>
              <c:ext xmlns:c16="http://schemas.microsoft.com/office/drawing/2014/chart" uri="{C3380CC4-5D6E-409C-BE32-E72D297353CC}">
                <c16:uniqueId val="{00000001-7641-4598-B934-C23B09C1EA21}"/>
              </c:ext>
            </c:extLst>
          </c:dPt>
          <c:dPt>
            <c:idx val="2"/>
            <c:bubble3D val="0"/>
            <c:spPr>
              <a:solidFill>
                <a:srgbClr val="FF0000"/>
              </a:solidFill>
            </c:spPr>
            <c:extLs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1</c:v>
                </c:pt>
                <c:pt idx="1">
                  <c:v>0</c:v>
                </c:pt>
                <c:pt idx="2">
                  <c:v>0</c:v>
                </c:pt>
              </c:numCache>
            </c:numRef>
          </c:val>
          <c:extLs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Improving Local Democracy-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0A41-4000-A8E2-478BCE1665AD}"/>
              </c:ext>
            </c:extLst>
          </c:dPt>
          <c:dPt>
            <c:idx val="1"/>
            <c:bubble3D val="0"/>
            <c:spPr>
              <a:solidFill>
                <a:srgbClr val="FFC000"/>
              </a:solidFill>
            </c:spPr>
            <c:extLst>
              <c:ext xmlns:c16="http://schemas.microsoft.com/office/drawing/2014/chart" uri="{C3380CC4-5D6E-409C-BE32-E72D297353CC}">
                <c16:uniqueId val="{00000001-0A41-4000-A8E2-478BCE1665AD}"/>
              </c:ext>
            </c:extLst>
          </c:dPt>
          <c:dPt>
            <c:idx val="2"/>
            <c:bubble3D val="0"/>
            <c:spPr>
              <a:solidFill>
                <a:srgbClr val="FF0000"/>
              </a:solidFill>
            </c:spPr>
            <c:extLs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1</c:v>
                </c:pt>
                <c:pt idx="1">
                  <c:v>0</c:v>
                </c:pt>
                <c:pt idx="2">
                  <c:v>0</c:v>
                </c:pt>
              </c:numCache>
            </c:numRef>
          </c:val>
          <c:extLs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Creating a prosperous East Staffordshire</a:t>
            </a:r>
            <a:r>
              <a:rPr lang="en-US" sz="1800" b="1" i="0" baseline="0"/>
              <a:t>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A9B-478A-B2A9-1B9D10175A4B}"/>
              </c:ext>
            </c:extLst>
          </c:dPt>
          <c:dPt>
            <c:idx val="1"/>
            <c:bubble3D val="0"/>
            <c:spPr>
              <a:solidFill>
                <a:srgbClr val="FFC000"/>
              </a:solidFill>
            </c:spPr>
            <c:extLst>
              <c:ext xmlns:c16="http://schemas.microsoft.com/office/drawing/2014/chart" uri="{C3380CC4-5D6E-409C-BE32-E72D297353CC}">
                <c16:uniqueId val="{00000001-BA9B-478A-B2A9-1B9D10175A4B}"/>
              </c:ext>
            </c:extLst>
          </c:dPt>
          <c:dPt>
            <c:idx val="2"/>
            <c:bubble3D val="0"/>
            <c:spPr>
              <a:solidFill>
                <a:srgbClr val="FF0000"/>
              </a:solidFill>
            </c:spPr>
            <c:extLst>
              <c:ext xmlns:c16="http://schemas.microsoft.com/office/drawing/2014/chart" uri="{C3380CC4-5D6E-409C-BE32-E72D297353CC}">
                <c16:uniqueId val="{00000002-BA9B-478A-B2A9-1B9D10175A4B}"/>
              </c:ext>
            </c:extLst>
          </c:dPt>
          <c:cat>
            <c:strRef>
              <c:f>'2b. Charts by Priority'!$AY$39:$AY$41</c:f>
              <c:strCache>
                <c:ptCount val="3"/>
                <c:pt idx="0">
                  <c:v>Green</c:v>
                </c:pt>
                <c:pt idx="1">
                  <c:v>Amber</c:v>
                </c:pt>
                <c:pt idx="2">
                  <c:v>Red</c:v>
                </c:pt>
              </c:strCache>
            </c:strRef>
          </c:cat>
          <c:val>
            <c:numRef>
              <c:f>'2b. Charts by Priority'!$BB$39:$BB$41</c:f>
              <c:numCache>
                <c:formatCode>0.00%</c:formatCode>
                <c:ptCount val="3"/>
                <c:pt idx="0">
                  <c:v>1</c:v>
                </c:pt>
                <c:pt idx="1">
                  <c:v>0</c:v>
                </c:pt>
                <c:pt idx="2">
                  <c:v>0</c:v>
                </c:pt>
              </c:numCache>
            </c:numRef>
          </c:val>
          <c:extLs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u="none" strike="noStrike" baseline="0">
                <a:effectLst/>
              </a:rPr>
              <a:t>Creating a prosperous East Staffordshire</a:t>
            </a: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E504-44CE-97B2-C7B1FE600C20}"/>
              </c:ext>
            </c:extLst>
          </c:dPt>
          <c:dPt>
            <c:idx val="1"/>
            <c:bubble3D val="0"/>
            <c:spPr>
              <a:solidFill>
                <a:srgbClr val="FFC000"/>
              </a:solidFill>
            </c:spPr>
            <c:extLst>
              <c:ext xmlns:c16="http://schemas.microsoft.com/office/drawing/2014/chart" uri="{C3380CC4-5D6E-409C-BE32-E72D297353CC}">
                <c16:uniqueId val="{00000001-E504-44CE-97B2-C7B1FE600C20}"/>
              </c:ext>
            </c:extLst>
          </c:dPt>
          <c:dPt>
            <c:idx val="2"/>
            <c:bubble3D val="0"/>
            <c:spPr>
              <a:solidFill>
                <a:srgbClr val="FF0000"/>
              </a:solidFill>
            </c:spPr>
            <c:extLst>
              <c:ext xmlns:c16="http://schemas.microsoft.com/office/drawing/2014/chart" uri="{C3380CC4-5D6E-409C-BE32-E72D297353CC}">
                <c16:uniqueId val="{00000002-E504-44CE-97B2-C7B1FE600C20}"/>
              </c:ext>
            </c:extLst>
          </c:dPt>
          <c:cat>
            <c:strRef>
              <c:f>'2b. Charts by Priority'!$AY$39:$AY$41</c:f>
              <c:strCache>
                <c:ptCount val="3"/>
                <c:pt idx="0">
                  <c:v>Green</c:v>
                </c:pt>
                <c:pt idx="1">
                  <c:v>Amber</c:v>
                </c:pt>
                <c:pt idx="2">
                  <c:v>Red</c:v>
                </c:pt>
              </c:strCache>
            </c:strRef>
          </c:cat>
          <c:val>
            <c:numRef>
              <c:f>'2b. Charts by Priority'!$BC$39:$BC$41</c:f>
              <c:numCache>
                <c:formatCode>0.00%</c:formatCode>
                <c:ptCount val="3"/>
                <c:pt idx="0">
                  <c:v>1</c:v>
                </c:pt>
                <c:pt idx="1">
                  <c:v>0</c:v>
                </c:pt>
                <c:pt idx="2">
                  <c:v>0</c:v>
                </c:pt>
              </c:numCache>
            </c:numRef>
          </c:val>
          <c:extLs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Developing a Green New Deal - </a:t>
            </a:r>
            <a:r>
              <a:rPr lang="en-US" sz="1800" b="1" i="0" baseline="0"/>
              <a:t>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67C-498C-8367-702B3FC4C53B}"/>
              </c:ext>
            </c:extLst>
          </c:dPt>
          <c:dPt>
            <c:idx val="1"/>
            <c:bubble3D val="0"/>
            <c:spPr>
              <a:solidFill>
                <a:srgbClr val="FFC000"/>
              </a:solidFill>
            </c:spPr>
            <c:extLst>
              <c:ext xmlns:c16="http://schemas.microsoft.com/office/drawing/2014/chart" uri="{C3380CC4-5D6E-409C-BE32-E72D297353CC}">
                <c16:uniqueId val="{00000001-B67C-498C-8367-702B3FC4C53B}"/>
              </c:ext>
            </c:extLst>
          </c:dPt>
          <c:dPt>
            <c:idx val="2"/>
            <c:bubble3D val="0"/>
            <c:spPr>
              <a:solidFill>
                <a:srgbClr val="FF0000"/>
              </a:solidFill>
            </c:spPr>
            <c:extLst>
              <c:ext xmlns:c16="http://schemas.microsoft.com/office/drawing/2014/chart" uri="{C3380CC4-5D6E-409C-BE32-E72D297353CC}">
                <c16:uniqueId val="{00000002-B67C-498C-8367-702B3FC4C53B}"/>
              </c:ext>
            </c:extLst>
          </c:dPt>
          <c:cat>
            <c:strRef>
              <c:f>'2b. Charts by Priority'!$AY$55:$AY$57</c:f>
              <c:strCache>
                <c:ptCount val="3"/>
                <c:pt idx="0">
                  <c:v>Green</c:v>
                </c:pt>
                <c:pt idx="1">
                  <c:v>Amber</c:v>
                </c:pt>
                <c:pt idx="2">
                  <c:v>Red</c:v>
                </c:pt>
              </c:strCache>
            </c:strRef>
          </c:cat>
          <c:val>
            <c:numRef>
              <c:f>'2b. Charts by Priority'!$BB$55:$BB$57</c:f>
              <c:numCache>
                <c:formatCode>0.00%</c:formatCode>
                <c:ptCount val="3"/>
                <c:pt idx="0">
                  <c:v>1</c:v>
                </c:pt>
                <c:pt idx="1">
                  <c:v>0</c:v>
                </c:pt>
                <c:pt idx="2">
                  <c:v>0</c:v>
                </c:pt>
              </c:numCache>
            </c:numRef>
          </c:val>
          <c:extLs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Improving Local Democracy</a:t>
            </a: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1</c:v>
                </c:pt>
                <c:pt idx="1">
                  <c:v>1</c:v>
                </c:pt>
                <c:pt idx="2">
                  <c:v>1</c:v>
                </c:pt>
                <c:pt idx="3">
                  <c:v>1</c:v>
                </c:pt>
              </c:numCache>
            </c:numRef>
          </c:val>
          <c:smooth val="0"/>
          <c:extLs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334180680"/>
        <c:axId val="334181072"/>
      </c:lineChart>
      <c:catAx>
        <c:axId val="334180680"/>
        <c:scaling>
          <c:orientation val="minMax"/>
        </c:scaling>
        <c:delete val="0"/>
        <c:axPos val="b"/>
        <c:numFmt formatCode="General" sourceLinked="0"/>
        <c:majorTickMark val="out"/>
        <c:minorTickMark val="none"/>
        <c:tickLblPos val="nextTo"/>
        <c:txPr>
          <a:bodyPr/>
          <a:lstStyle/>
          <a:p>
            <a:pPr>
              <a:defRPr lang="en-US"/>
            </a:pPr>
            <a:endParaRPr lang="en-US"/>
          </a:p>
        </c:txPr>
        <c:crossAx val="334181072"/>
        <c:crosses val="autoZero"/>
        <c:auto val="1"/>
        <c:lblAlgn val="ctr"/>
        <c:lblOffset val="100"/>
        <c:noMultiLvlLbl val="0"/>
      </c:catAx>
      <c:valAx>
        <c:axId val="33418107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418068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Developing a Green New Deal - </a:t>
            </a:r>
            <a:r>
              <a:rPr lang="en-US" sz="1800" b="1" i="0" baseline="0"/>
              <a:t>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c:ext xmlns:c16="http://schemas.microsoft.com/office/drawing/2014/chart" uri="{C3380CC4-5D6E-409C-BE32-E72D297353CC}">
                <c16:uniqueId val="{00000000-563A-496E-9601-7BADD816C91D}"/>
              </c:ext>
            </c:extLst>
          </c:dPt>
          <c:dPt>
            <c:idx val="1"/>
            <c:bubble3D val="0"/>
            <c:spPr>
              <a:solidFill>
                <a:srgbClr val="FFC000"/>
              </a:solidFill>
            </c:spPr>
            <c:extLst>
              <c:ext xmlns:c16="http://schemas.microsoft.com/office/drawing/2014/chart" uri="{C3380CC4-5D6E-409C-BE32-E72D297353CC}">
                <c16:uniqueId val="{00000001-563A-496E-9601-7BADD816C91D}"/>
              </c:ext>
            </c:extLst>
          </c:dPt>
          <c:dPt>
            <c:idx val="2"/>
            <c:bubble3D val="0"/>
            <c:spPr>
              <a:solidFill>
                <a:srgbClr val="FF0000"/>
              </a:solidFill>
            </c:spPr>
            <c:extLst>
              <c:ext xmlns:c16="http://schemas.microsoft.com/office/drawing/2014/chart" uri="{C3380CC4-5D6E-409C-BE32-E72D297353CC}">
                <c16:uniqueId val="{00000002-563A-496E-9601-7BADD816C91D}"/>
              </c:ext>
            </c:extLst>
          </c:dPt>
          <c:cat>
            <c:strRef>
              <c:f>'2b. Charts by Priority'!$AY$55:$AY$57</c:f>
              <c:strCache>
                <c:ptCount val="3"/>
                <c:pt idx="0">
                  <c:v>Green</c:v>
                </c:pt>
                <c:pt idx="1">
                  <c:v>Amber</c:v>
                </c:pt>
                <c:pt idx="2">
                  <c:v>Red</c:v>
                </c:pt>
              </c:strCache>
            </c:strRef>
          </c:cat>
          <c:val>
            <c:numRef>
              <c:f>'2b. Charts by Priority'!$BC$55:$BC$57</c:f>
              <c:numCache>
                <c:formatCode>0.00%</c:formatCode>
                <c:ptCount val="3"/>
                <c:pt idx="0">
                  <c:v>0.90909090909090906</c:v>
                </c:pt>
                <c:pt idx="1">
                  <c:v>0</c:v>
                </c:pt>
                <c:pt idx="2">
                  <c:v>9.0909090909090912E-2</c:v>
                </c:pt>
              </c:numCache>
            </c:numRef>
          </c:val>
          <c:extLs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Protecting our heritage</a:t>
            </a: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Priority'!$AY$71</c:f>
              <c:strCache>
                <c:ptCount val="1"/>
                <c:pt idx="0">
                  <c:v>Green</c:v>
                </c:pt>
              </c:strCache>
            </c:strRef>
          </c:tx>
          <c:marker>
            <c:symbol val="none"/>
          </c:marker>
          <c:dLbls>
            <c:spPr>
              <a:noFill/>
              <a:ln>
                <a:noFill/>
              </a:ln>
              <a:effectLst/>
            </c:spPr>
            <c:txPr>
              <a:bodyPr/>
              <a:lstStyle/>
              <a:p>
                <a:pPr>
                  <a:defRPr lang="en-U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Priority'!$AZ$70:$BC$70</c:f>
              <c:strCache>
                <c:ptCount val="4"/>
                <c:pt idx="0">
                  <c:v>Q1</c:v>
                </c:pt>
                <c:pt idx="1">
                  <c:v>Q2</c:v>
                </c:pt>
                <c:pt idx="2">
                  <c:v>Q3</c:v>
                </c:pt>
                <c:pt idx="3">
                  <c:v>Q4</c:v>
                </c:pt>
              </c:strCache>
            </c:strRef>
          </c:cat>
          <c:val>
            <c:numRef>
              <c:f>'2b. Charts by Priority'!$AZ$71:$BC$71</c:f>
              <c:numCache>
                <c:formatCode>0.00%</c:formatCode>
                <c:ptCount val="4"/>
                <c:pt idx="0">
                  <c:v>1</c:v>
                </c:pt>
                <c:pt idx="1">
                  <c:v>1</c:v>
                </c:pt>
                <c:pt idx="2">
                  <c:v>1</c:v>
                </c:pt>
                <c:pt idx="3">
                  <c:v>1</c:v>
                </c:pt>
              </c:numCache>
            </c:numRef>
          </c:val>
          <c:smooth val="0"/>
          <c:extLst>
            <c:ext xmlns:c16="http://schemas.microsoft.com/office/drawing/2014/chart" uri="{C3380CC4-5D6E-409C-BE32-E72D297353CC}">
              <c16:uniqueId val="{00000002-21A3-4BFA-BBB5-DF5B18E71016}"/>
            </c:ext>
          </c:extLst>
        </c:ser>
        <c:ser>
          <c:idx val="1"/>
          <c:order val="1"/>
          <c:tx>
            <c:strRef>
              <c:f>'2b. Charts by Priority'!$AY$72</c:f>
              <c:strCache>
                <c:ptCount val="1"/>
                <c:pt idx="0">
                  <c:v>Amber</c:v>
                </c:pt>
              </c:strCache>
            </c:strRef>
          </c:tx>
          <c:marker>
            <c:symbol val="none"/>
          </c:marker>
          <c:dLbls>
            <c:spPr>
              <a:noFill/>
              <a:ln>
                <a:noFill/>
              </a:ln>
              <a:effectLst/>
            </c:spPr>
            <c:txPr>
              <a:bodyPr/>
              <a:lstStyle/>
              <a:p>
                <a:pPr>
                  <a:defRPr lang="en-U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Priority'!$AZ$70:$BC$70</c:f>
              <c:strCache>
                <c:ptCount val="4"/>
                <c:pt idx="0">
                  <c:v>Q1</c:v>
                </c:pt>
                <c:pt idx="1">
                  <c:v>Q2</c:v>
                </c:pt>
                <c:pt idx="2">
                  <c:v>Q3</c:v>
                </c:pt>
                <c:pt idx="3">
                  <c:v>Q4</c:v>
                </c:pt>
              </c:strCache>
            </c:strRef>
          </c:cat>
          <c:val>
            <c:numRef>
              <c:f>'2b. Charts by Priority'!$AZ$72:$BC$72</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7-21A3-4BFA-BBB5-DF5B18E71016}"/>
            </c:ext>
          </c:extLst>
        </c:ser>
        <c:ser>
          <c:idx val="2"/>
          <c:order val="2"/>
          <c:tx>
            <c:strRef>
              <c:f>'2b. Charts by Priority'!$AY$73</c:f>
              <c:strCache>
                <c:ptCount val="1"/>
                <c:pt idx="0">
                  <c:v>Red</c:v>
                </c:pt>
              </c:strCache>
            </c:strRef>
          </c:tx>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'2b. Charts by Priority'!$AZ$70:$BC$70</c:f>
              <c:strCache>
                <c:ptCount val="4"/>
                <c:pt idx="0">
                  <c:v>Q1</c:v>
                </c:pt>
                <c:pt idx="1">
                  <c:v>Q2</c:v>
                </c:pt>
                <c:pt idx="2">
                  <c:v>Q3</c:v>
                </c:pt>
                <c:pt idx="3">
                  <c:v>Q4</c:v>
                </c:pt>
              </c:strCache>
            </c:strRef>
          </c:cat>
          <c:val>
            <c:numRef>
              <c:f>'2b. Charts by Priority'!$AZ$73:$BC$73</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C-21A3-4BFA-BBB5-DF5B18E71016}"/>
            </c:ext>
          </c:extLst>
        </c:ser>
        <c:dLbls>
          <c:showLegendKey val="0"/>
          <c:showVal val="1"/>
          <c:showCatName val="0"/>
          <c:showSerName val="0"/>
          <c:showPercent val="0"/>
          <c:showBubbleSize val="0"/>
        </c:dLbls>
        <c:smooth val="0"/>
        <c:axId val="356719496"/>
        <c:axId val="356715576"/>
      </c:lineChart>
      <c:catAx>
        <c:axId val="356719496"/>
        <c:scaling>
          <c:orientation val="minMax"/>
        </c:scaling>
        <c:delete val="0"/>
        <c:axPos val="b"/>
        <c:numFmt formatCode="General" sourceLinked="0"/>
        <c:majorTickMark val="out"/>
        <c:minorTickMark val="none"/>
        <c:tickLblPos val="nextTo"/>
        <c:txPr>
          <a:bodyPr/>
          <a:lstStyle/>
          <a:p>
            <a:pPr>
              <a:defRPr lang="en-US"/>
            </a:pPr>
            <a:endParaRPr lang="en-US"/>
          </a:p>
        </c:txPr>
        <c:crossAx val="356715576"/>
        <c:crosses val="autoZero"/>
        <c:auto val="1"/>
        <c:lblAlgn val="ctr"/>
        <c:lblOffset val="100"/>
        <c:noMultiLvlLbl val="0"/>
      </c:catAx>
      <c:valAx>
        <c:axId val="35671557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671949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Protecting</a:t>
            </a:r>
            <a:r>
              <a:rPr lang="en-US" baseline="0"/>
              <a:t> our heritage </a:t>
            </a: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'2b. Charts by Priority'!$AZ$70</c:f>
              <c:strCache>
                <c:ptCount val="1"/>
                <c:pt idx="0">
                  <c:v>Q1</c:v>
                </c:pt>
              </c:strCache>
            </c:strRef>
          </c:tx>
          <c:cat>
            <c:strRef>
              <c:f>'2b. Charts by Priority'!$AY$71:$AY$73</c:f>
              <c:strCache>
                <c:ptCount val="3"/>
                <c:pt idx="0">
                  <c:v>Green</c:v>
                </c:pt>
                <c:pt idx="1">
                  <c:v>Amber</c:v>
                </c:pt>
                <c:pt idx="2">
                  <c:v>Red</c:v>
                </c:pt>
              </c:strCache>
            </c:strRef>
          </c:cat>
          <c:val>
            <c:numRef>
              <c:f>'2b. Charts by Priority'!$AZ$71:$AZ$73</c:f>
              <c:numCache>
                <c:formatCode>0.00%</c:formatCode>
                <c:ptCount val="3"/>
                <c:pt idx="0">
                  <c:v>1</c:v>
                </c:pt>
                <c:pt idx="1">
                  <c:v>0</c:v>
                </c:pt>
                <c:pt idx="2">
                  <c:v>0</c:v>
                </c:pt>
              </c:numCache>
            </c:numRef>
          </c:val>
          <c:extLst>
            <c:ext xmlns:c16="http://schemas.microsoft.com/office/drawing/2014/chart" uri="{C3380CC4-5D6E-409C-BE32-E72D297353CC}">
              <c16:uniqueId val="{00000006-A190-423B-8A49-D421E49B515C}"/>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Protecting our heritage - </a:t>
            </a:r>
            <a:r>
              <a:rPr lang="en-US" sz="1800" b="1" i="0" baseline="0"/>
              <a:t>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'2b. Charts by Priority'!$BA$70</c:f>
              <c:strCache>
                <c:ptCount val="1"/>
                <c:pt idx="0">
                  <c:v>Q2</c:v>
                </c:pt>
              </c:strCache>
            </c:strRef>
          </c:tx>
          <c:cat>
            <c:strRef>
              <c:f>'2b. Charts by Priority'!$AY$71:$AY$73</c:f>
              <c:strCache>
                <c:ptCount val="3"/>
                <c:pt idx="0">
                  <c:v>Green</c:v>
                </c:pt>
                <c:pt idx="1">
                  <c:v>Amber</c:v>
                </c:pt>
                <c:pt idx="2">
                  <c:v>Red</c:v>
                </c:pt>
              </c:strCache>
            </c:strRef>
          </c:cat>
          <c:val>
            <c:numRef>
              <c:f>'2b. Charts by Priority'!$BA$71:$BA$73</c:f>
              <c:numCache>
                <c:formatCode>0.00%</c:formatCode>
                <c:ptCount val="3"/>
                <c:pt idx="0">
                  <c:v>1</c:v>
                </c:pt>
                <c:pt idx="1">
                  <c:v>0</c:v>
                </c:pt>
                <c:pt idx="2">
                  <c:v>0</c:v>
                </c:pt>
              </c:numCache>
            </c:numRef>
          </c:val>
          <c:extLst>
            <c:ext xmlns:c16="http://schemas.microsoft.com/office/drawing/2014/chart" uri="{C3380CC4-5D6E-409C-BE32-E72D297353CC}">
              <c16:uniqueId val="{00000006-70BB-4E45-86EF-F55AC9481CA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Protecting our heritage - </a:t>
            </a:r>
            <a:r>
              <a:rPr lang="en-US" sz="1800" b="1" i="0" baseline="0"/>
              <a:t>Quarter 3</a:t>
            </a:r>
            <a:endParaRPr lang="en-GB"/>
          </a:p>
        </c:rich>
      </c:tx>
      <c:layout>
        <c:manualLayout>
          <c:xMode val="edge"/>
          <c:yMode val="edge"/>
          <c:x val="0.11275406980377453"/>
          <c:y val="3.2429928190873293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'2b. Charts by Priority'!$BB$70</c:f>
              <c:strCache>
                <c:ptCount val="1"/>
                <c:pt idx="0">
                  <c:v>Q3</c:v>
                </c:pt>
              </c:strCache>
            </c:strRef>
          </c:tx>
          <c:cat>
            <c:strRef>
              <c:f>'2b. Charts by Priority'!$AY$71:$AY$73</c:f>
              <c:strCache>
                <c:ptCount val="3"/>
                <c:pt idx="0">
                  <c:v>Green</c:v>
                </c:pt>
                <c:pt idx="1">
                  <c:v>Amber</c:v>
                </c:pt>
                <c:pt idx="2">
                  <c:v>Red</c:v>
                </c:pt>
              </c:strCache>
            </c:strRef>
          </c:cat>
          <c:val>
            <c:numRef>
              <c:f>'2b. Charts by Priority'!$BB$71:$BB$73</c:f>
              <c:numCache>
                <c:formatCode>0.00%</c:formatCode>
                <c:ptCount val="3"/>
                <c:pt idx="0">
                  <c:v>1</c:v>
                </c:pt>
                <c:pt idx="1">
                  <c:v>0</c:v>
                </c:pt>
                <c:pt idx="2">
                  <c:v>0</c:v>
                </c:pt>
              </c:numCache>
            </c:numRef>
          </c:val>
          <c:extLst>
            <c:ext xmlns:c16="http://schemas.microsoft.com/office/drawing/2014/chart" uri="{C3380CC4-5D6E-409C-BE32-E72D297353CC}">
              <c16:uniqueId val="{00000006-141D-40D7-B585-2CE41F6808DC}"/>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Protecting our heritage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'2b. Charts by Priority'!$BC$70</c:f>
              <c:strCache>
                <c:ptCount val="1"/>
                <c:pt idx="0">
                  <c:v>Q4</c:v>
                </c:pt>
              </c:strCache>
            </c:strRef>
          </c:tx>
          <c:cat>
            <c:strRef>
              <c:f>'2b. Charts by Priority'!$AY$71:$AY$73</c:f>
              <c:strCache>
                <c:ptCount val="3"/>
                <c:pt idx="0">
                  <c:v>Green</c:v>
                </c:pt>
                <c:pt idx="1">
                  <c:v>Amber</c:v>
                </c:pt>
                <c:pt idx="2">
                  <c:v>Red</c:v>
                </c:pt>
              </c:strCache>
            </c:strRef>
          </c:cat>
          <c:val>
            <c:numRef>
              <c:f>'2b. Charts by Priority'!$BC$71:$BC$73</c:f>
              <c:numCache>
                <c:formatCode>0.00%</c:formatCode>
                <c:ptCount val="3"/>
                <c:pt idx="0">
                  <c:v>1</c:v>
                </c:pt>
                <c:pt idx="1">
                  <c:v>0</c:v>
                </c:pt>
                <c:pt idx="2">
                  <c:v>0</c:v>
                </c:pt>
              </c:numCache>
            </c:numRef>
          </c:val>
          <c:extLst>
            <c:ext xmlns:c16="http://schemas.microsoft.com/office/drawing/2014/chart" uri="{C3380CC4-5D6E-409C-BE32-E72D297353CC}">
              <c16:uniqueId val="{00000006-C9DF-4E1B-BBB8-FBF2670D6A9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Standing up for our communities</a:t>
            </a: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Priority'!$AY$86</c:f>
              <c:strCache>
                <c:ptCount val="1"/>
                <c:pt idx="0">
                  <c:v>Green</c:v>
                </c:pt>
              </c:strCache>
            </c:strRef>
          </c:tx>
          <c:marker>
            <c:symbol val="none"/>
          </c:marker>
          <c:dLbls>
            <c:spPr>
              <a:noFill/>
              <a:ln>
                <a:noFill/>
              </a:ln>
              <a:effectLst/>
            </c:spPr>
            <c:txPr>
              <a:bodyPr/>
              <a:lstStyle/>
              <a:p>
                <a:pPr>
                  <a:defRPr lang="en-U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Priority'!$AZ$85:$BC$85</c:f>
              <c:strCache>
                <c:ptCount val="4"/>
                <c:pt idx="0">
                  <c:v>Q1</c:v>
                </c:pt>
                <c:pt idx="1">
                  <c:v>Q2</c:v>
                </c:pt>
                <c:pt idx="2">
                  <c:v>Q3</c:v>
                </c:pt>
                <c:pt idx="3">
                  <c:v>Q4</c:v>
                </c:pt>
              </c:strCache>
            </c:strRef>
          </c:cat>
          <c:val>
            <c:numRef>
              <c:f>'2b. Charts by Priority'!$AZ$86:$BC$86</c:f>
              <c:numCache>
                <c:formatCode>0.00%</c:formatCode>
                <c:ptCount val="4"/>
                <c:pt idx="0">
                  <c:v>1</c:v>
                </c:pt>
                <c:pt idx="1">
                  <c:v>1</c:v>
                </c:pt>
                <c:pt idx="2">
                  <c:v>1</c:v>
                </c:pt>
                <c:pt idx="3">
                  <c:v>1</c:v>
                </c:pt>
              </c:numCache>
            </c:numRef>
          </c:val>
          <c:smooth val="0"/>
          <c:extLst>
            <c:ext xmlns:c16="http://schemas.microsoft.com/office/drawing/2014/chart" uri="{C3380CC4-5D6E-409C-BE32-E72D297353CC}">
              <c16:uniqueId val="{00000002-B2CF-466E-A181-6E2E2E9B9E32}"/>
            </c:ext>
          </c:extLst>
        </c:ser>
        <c:ser>
          <c:idx val="1"/>
          <c:order val="1"/>
          <c:tx>
            <c:strRef>
              <c:f>'2b. Charts by Priority'!$AY$87</c:f>
              <c:strCache>
                <c:ptCount val="1"/>
                <c:pt idx="0">
                  <c:v>Amber</c:v>
                </c:pt>
              </c:strCache>
            </c:strRef>
          </c:tx>
          <c:marker>
            <c:symbol val="none"/>
          </c:marker>
          <c:dLbls>
            <c:spPr>
              <a:noFill/>
              <a:ln>
                <a:noFill/>
              </a:ln>
              <a:effectLst/>
            </c:spPr>
            <c:txPr>
              <a:bodyPr/>
              <a:lstStyle/>
              <a:p>
                <a:pPr>
                  <a:defRPr lang="en-U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Priority'!$AZ$85:$BC$85</c:f>
              <c:strCache>
                <c:ptCount val="4"/>
                <c:pt idx="0">
                  <c:v>Q1</c:v>
                </c:pt>
                <c:pt idx="1">
                  <c:v>Q2</c:v>
                </c:pt>
                <c:pt idx="2">
                  <c:v>Q3</c:v>
                </c:pt>
                <c:pt idx="3">
                  <c:v>Q4</c:v>
                </c:pt>
              </c:strCache>
            </c:strRef>
          </c:cat>
          <c:val>
            <c:numRef>
              <c:f>'2b. Charts by Priority'!$AZ$87:$BC$87</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7-B2CF-466E-A181-6E2E2E9B9E32}"/>
            </c:ext>
          </c:extLst>
        </c:ser>
        <c:ser>
          <c:idx val="2"/>
          <c:order val="2"/>
          <c:tx>
            <c:strRef>
              <c:f>'2b. Charts by Priority'!$AY$88</c:f>
              <c:strCache>
                <c:ptCount val="1"/>
                <c:pt idx="0">
                  <c:v>Red</c:v>
                </c:pt>
              </c:strCache>
            </c:strRef>
          </c:tx>
          <c:marker>
            <c:symbol val="none"/>
          </c:marker>
          <c:dLbls>
            <c:spPr>
              <a:noFill/>
              <a:ln>
                <a:noFill/>
              </a:ln>
              <a:effectLst/>
            </c:spPr>
            <c:txPr>
              <a:bodyPr/>
              <a:lstStyle/>
              <a:p>
                <a:pPr>
                  <a:defRPr lang="en-U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Priority'!$AZ$85:$BC$85</c:f>
              <c:strCache>
                <c:ptCount val="4"/>
                <c:pt idx="0">
                  <c:v>Q1</c:v>
                </c:pt>
                <c:pt idx="1">
                  <c:v>Q2</c:v>
                </c:pt>
                <c:pt idx="2">
                  <c:v>Q3</c:v>
                </c:pt>
                <c:pt idx="3">
                  <c:v>Q4</c:v>
                </c:pt>
              </c:strCache>
            </c:strRef>
          </c:cat>
          <c:val>
            <c:numRef>
              <c:f>'2b. Charts by Priority'!$AZ$88:$BC$88</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B2CF-466E-A181-6E2E2E9B9E32}"/>
            </c:ext>
          </c:extLst>
        </c:ser>
        <c:dLbls>
          <c:showLegendKey val="0"/>
          <c:showVal val="1"/>
          <c:showCatName val="0"/>
          <c:showSerName val="0"/>
          <c:showPercent val="0"/>
          <c:showBubbleSize val="0"/>
        </c:dLbls>
        <c:smooth val="0"/>
        <c:axId val="356719496"/>
        <c:axId val="356715576"/>
      </c:lineChart>
      <c:catAx>
        <c:axId val="356719496"/>
        <c:scaling>
          <c:orientation val="minMax"/>
        </c:scaling>
        <c:delete val="0"/>
        <c:axPos val="b"/>
        <c:numFmt formatCode="General" sourceLinked="0"/>
        <c:majorTickMark val="out"/>
        <c:minorTickMark val="none"/>
        <c:tickLblPos val="nextTo"/>
        <c:txPr>
          <a:bodyPr/>
          <a:lstStyle/>
          <a:p>
            <a:pPr>
              <a:defRPr lang="en-US"/>
            </a:pPr>
            <a:endParaRPr lang="en-US"/>
          </a:p>
        </c:txPr>
        <c:crossAx val="356715576"/>
        <c:crosses val="autoZero"/>
        <c:auto val="1"/>
        <c:lblAlgn val="ctr"/>
        <c:lblOffset val="100"/>
        <c:noMultiLvlLbl val="0"/>
      </c:catAx>
      <c:valAx>
        <c:axId val="35671557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671949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Standing up for our communities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'2b. Charts by Priority'!$AZ$85</c:f>
              <c:strCache>
                <c:ptCount val="1"/>
                <c:pt idx="0">
                  <c:v>Q1</c:v>
                </c:pt>
              </c:strCache>
            </c:strRef>
          </c:tx>
          <c:cat>
            <c:strRef>
              <c:f>'2b. Charts by Priority'!$AY$86:$AY$88</c:f>
              <c:strCache>
                <c:ptCount val="3"/>
                <c:pt idx="0">
                  <c:v>Green</c:v>
                </c:pt>
                <c:pt idx="1">
                  <c:v>Amber</c:v>
                </c:pt>
                <c:pt idx="2">
                  <c:v>Red</c:v>
                </c:pt>
              </c:strCache>
            </c:strRef>
          </c:cat>
          <c:val>
            <c:numRef>
              <c:f>'2b. Charts by Priority'!$AZ$86:$AZ$88</c:f>
              <c:numCache>
                <c:formatCode>0.00%</c:formatCode>
                <c:ptCount val="3"/>
                <c:pt idx="0">
                  <c:v>1</c:v>
                </c:pt>
                <c:pt idx="1">
                  <c:v>0</c:v>
                </c:pt>
                <c:pt idx="2">
                  <c:v>0</c:v>
                </c:pt>
              </c:numCache>
            </c:numRef>
          </c:val>
          <c:extLst>
            <c:ext xmlns:c16="http://schemas.microsoft.com/office/drawing/2014/chart" uri="{C3380CC4-5D6E-409C-BE32-E72D297353CC}">
              <c16:uniqueId val="{00000006-7939-4199-A1D4-BB2DDD834F4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Standing up for our communities - </a:t>
            </a:r>
            <a:r>
              <a:rPr lang="en-US" sz="1800" b="1" i="0" baseline="0"/>
              <a:t>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'2b. Charts by Priority'!$BA$85</c:f>
              <c:strCache>
                <c:ptCount val="1"/>
                <c:pt idx="0">
                  <c:v>Q2</c:v>
                </c:pt>
              </c:strCache>
            </c:strRef>
          </c:tx>
          <c:cat>
            <c:strRef>
              <c:f>'2b. Charts by Priority'!$AY$86:$AY$88</c:f>
              <c:strCache>
                <c:ptCount val="3"/>
                <c:pt idx="0">
                  <c:v>Green</c:v>
                </c:pt>
                <c:pt idx="1">
                  <c:v>Amber</c:v>
                </c:pt>
                <c:pt idx="2">
                  <c:v>Red</c:v>
                </c:pt>
              </c:strCache>
            </c:strRef>
          </c:cat>
          <c:val>
            <c:numRef>
              <c:f>'2b. Charts by Priority'!$BA$86:$BA$88</c:f>
              <c:numCache>
                <c:formatCode>0.00%</c:formatCode>
                <c:ptCount val="3"/>
                <c:pt idx="0">
                  <c:v>1</c:v>
                </c:pt>
                <c:pt idx="1">
                  <c:v>0</c:v>
                </c:pt>
                <c:pt idx="2">
                  <c:v>0</c:v>
                </c:pt>
              </c:numCache>
            </c:numRef>
          </c:val>
          <c:extLst>
            <c:ext xmlns:c16="http://schemas.microsoft.com/office/drawing/2014/chart" uri="{C3380CC4-5D6E-409C-BE32-E72D297353CC}">
              <c16:uniqueId val="{00000006-A9FB-492F-9F6D-30EAD8AF660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Standing up for our communities - </a:t>
            </a:r>
            <a:r>
              <a:rPr lang="en-US" sz="1800" b="1" i="0" baseline="0"/>
              <a:t>Quarter 3</a:t>
            </a:r>
            <a:endParaRPr lang="en-GB"/>
          </a:p>
        </c:rich>
      </c:tx>
      <c:layout>
        <c:manualLayout>
          <c:xMode val="edge"/>
          <c:yMode val="edge"/>
          <c:x val="0.11275406980377453"/>
          <c:y val="3.2429928190873293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'2b. Charts by Priority'!$BB$85</c:f>
              <c:strCache>
                <c:ptCount val="1"/>
                <c:pt idx="0">
                  <c:v>Q3</c:v>
                </c:pt>
              </c:strCache>
            </c:strRef>
          </c:tx>
          <c:cat>
            <c:strRef>
              <c:f>'2b. Charts by Priority'!$AY$86:$AY$88</c:f>
              <c:strCache>
                <c:ptCount val="3"/>
                <c:pt idx="0">
                  <c:v>Green</c:v>
                </c:pt>
                <c:pt idx="1">
                  <c:v>Amber</c:v>
                </c:pt>
                <c:pt idx="2">
                  <c:v>Red</c:v>
                </c:pt>
              </c:strCache>
            </c:strRef>
          </c:cat>
          <c:val>
            <c:numRef>
              <c:f>'2b. Charts by Priority'!$BB$86:$BB$88</c:f>
              <c:numCache>
                <c:formatCode>0.00%</c:formatCode>
                <c:ptCount val="3"/>
                <c:pt idx="0">
                  <c:v>1</c:v>
                </c:pt>
                <c:pt idx="1">
                  <c:v>0</c:v>
                </c:pt>
                <c:pt idx="2">
                  <c:v>0</c:v>
                </c:pt>
              </c:numCache>
            </c:numRef>
          </c:val>
          <c:extLst>
            <c:ext xmlns:c16="http://schemas.microsoft.com/office/drawing/2014/chart" uri="{C3380CC4-5D6E-409C-BE32-E72D297353CC}">
              <c16:uniqueId val="{00000006-6C93-48DE-BE3C-B82565B62EA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Creating a prosperous East Staffordshire</a:t>
            </a: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'2b.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Priority'!$AZ$39:$BC$39</c:f>
              <c:numCache>
                <c:formatCode>0.00%</c:formatCode>
                <c:ptCount val="4"/>
                <c:pt idx="0">
                  <c:v>1</c:v>
                </c:pt>
                <c:pt idx="1">
                  <c:v>1</c:v>
                </c:pt>
                <c:pt idx="2">
                  <c:v>1</c:v>
                </c:pt>
                <c:pt idx="3">
                  <c:v>1</c:v>
                </c:pt>
              </c:numCache>
            </c:numRef>
          </c:val>
          <c:smooth val="0"/>
          <c:extLs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Priority'!$AZ$40:$BC$40</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B5E-483E-BF55-1F0165B4F8D4}"/>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5E-483E-BF55-1F0165B4F8D4}"/>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Priority'!$AZ$41:$BC$41</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356717536"/>
        <c:axId val="356712048"/>
      </c:lineChart>
      <c:catAx>
        <c:axId val="356717536"/>
        <c:scaling>
          <c:orientation val="minMax"/>
        </c:scaling>
        <c:delete val="0"/>
        <c:axPos val="b"/>
        <c:numFmt formatCode="General" sourceLinked="0"/>
        <c:majorTickMark val="out"/>
        <c:minorTickMark val="none"/>
        <c:tickLblPos val="nextTo"/>
        <c:txPr>
          <a:bodyPr/>
          <a:lstStyle/>
          <a:p>
            <a:pPr>
              <a:defRPr lang="en-US"/>
            </a:pPr>
            <a:endParaRPr lang="en-US"/>
          </a:p>
        </c:txPr>
        <c:crossAx val="356712048"/>
        <c:crosses val="autoZero"/>
        <c:auto val="1"/>
        <c:lblAlgn val="ctr"/>
        <c:lblOffset val="100"/>
        <c:noMultiLvlLbl val="0"/>
      </c:catAx>
      <c:valAx>
        <c:axId val="35671204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671753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Standing up for our communities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'2b. Charts by Priority'!$BC$85</c:f>
              <c:strCache>
                <c:ptCount val="1"/>
                <c:pt idx="0">
                  <c:v>Q4</c:v>
                </c:pt>
              </c:strCache>
            </c:strRef>
          </c:tx>
          <c:cat>
            <c:strRef>
              <c:f>'2b. Charts by Priority'!$AY$86:$AY$88</c:f>
              <c:strCache>
                <c:ptCount val="3"/>
                <c:pt idx="0">
                  <c:v>Green</c:v>
                </c:pt>
                <c:pt idx="1">
                  <c:v>Amber</c:v>
                </c:pt>
                <c:pt idx="2">
                  <c:v>Red</c:v>
                </c:pt>
              </c:strCache>
            </c:strRef>
          </c:cat>
          <c:val>
            <c:numRef>
              <c:f>'2b. Charts by Priority'!$BC$86:$BC$88</c:f>
              <c:numCache>
                <c:formatCode>0.00%</c:formatCode>
                <c:ptCount val="3"/>
                <c:pt idx="0">
                  <c:v>1</c:v>
                </c:pt>
                <c:pt idx="1">
                  <c:v>0</c:v>
                </c:pt>
                <c:pt idx="2">
                  <c:v>0</c:v>
                </c:pt>
              </c:numCache>
            </c:numRef>
          </c:val>
          <c:extLst>
            <c:ext xmlns:c16="http://schemas.microsoft.com/office/drawing/2014/chart" uri="{C3380CC4-5D6E-409C-BE32-E72D297353CC}">
              <c16:uniqueId val="{00000006-44DC-4A7C-8B55-3194D233DA9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Communities and Regulatory</a:t>
            </a:r>
            <a:r>
              <a:rPr lang="en-US" sz="1200" u="sng" baseline="0">
                <a:latin typeface="Arial" pitchFamily="34" charset="0"/>
                <a:cs typeface="Arial" pitchFamily="34" charset="0"/>
              </a:rPr>
              <a:t> Services</a:t>
            </a:r>
            <a:endParaRPr lang="en-US"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'3b.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Portfolio'!$AZ$7:$BC$7</c:f>
              <c:numCache>
                <c:formatCode>0.00%</c:formatCode>
                <c:ptCount val="4"/>
                <c:pt idx="0">
                  <c:v>0.94444444444444442</c:v>
                </c:pt>
                <c:pt idx="1">
                  <c:v>0.95454545454545459</c:v>
                </c:pt>
                <c:pt idx="2">
                  <c:v>0.95652173913043481</c:v>
                </c:pt>
                <c:pt idx="3">
                  <c:v>0.91304347826086951</c:v>
                </c:pt>
              </c:numCache>
            </c:numRef>
          </c:val>
          <c:smooth val="0"/>
          <c:extLst>
            <c:ext xmlns:c16="http://schemas.microsoft.com/office/drawing/2014/chart" uri="{C3380CC4-5D6E-409C-BE32-E72D297353CC}">
              <c16:uniqueId val="{00000000-A7AA-4C01-967B-CC6BF4FF1F5B}"/>
            </c:ext>
          </c:extLst>
        </c:ser>
        <c:ser>
          <c:idx val="1"/>
          <c:order val="1"/>
          <c:tx>
            <c:strRef>
              <c:f>'3b.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Portfolio'!$AZ$8:$BC$8</c:f>
              <c:numCache>
                <c:formatCode>0.00%</c:formatCode>
                <c:ptCount val="4"/>
                <c:pt idx="0">
                  <c:v>5.5555555555555552E-2</c:v>
                </c:pt>
                <c:pt idx="1">
                  <c:v>0</c:v>
                </c:pt>
                <c:pt idx="2">
                  <c:v>0</c:v>
                </c:pt>
                <c:pt idx="3">
                  <c:v>0</c:v>
                </c:pt>
              </c:numCache>
            </c:numRef>
          </c:val>
          <c:smooth val="0"/>
          <c:extLst>
            <c:ext xmlns:c16="http://schemas.microsoft.com/office/drawing/2014/chart" uri="{C3380CC4-5D6E-409C-BE32-E72D297353CC}">
              <c16:uniqueId val="{00000002-A7AA-4C01-967B-CC6BF4FF1F5B}"/>
            </c:ext>
          </c:extLst>
        </c:ser>
        <c:ser>
          <c:idx val="2"/>
          <c:order val="2"/>
          <c:tx>
            <c:strRef>
              <c:f>'3b.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Portfolio'!$AZ$9:$BC$9</c:f>
              <c:numCache>
                <c:formatCode>0.00%</c:formatCode>
                <c:ptCount val="4"/>
                <c:pt idx="0">
                  <c:v>0</c:v>
                </c:pt>
                <c:pt idx="1">
                  <c:v>4.5454545454545456E-2</c:v>
                </c:pt>
                <c:pt idx="2">
                  <c:v>4.3478260869565216E-2</c:v>
                </c:pt>
                <c:pt idx="3">
                  <c:v>8.6956521739130432E-2</c:v>
                </c:pt>
              </c:numCache>
            </c:numRef>
          </c:val>
          <c:smooth val="0"/>
          <c:extLs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357745056"/>
        <c:axId val="357746624"/>
      </c:lineChart>
      <c:catAx>
        <c:axId val="357745056"/>
        <c:scaling>
          <c:orientation val="minMax"/>
        </c:scaling>
        <c:delete val="0"/>
        <c:axPos val="b"/>
        <c:numFmt formatCode="General" sourceLinked="1"/>
        <c:majorTickMark val="out"/>
        <c:minorTickMark val="none"/>
        <c:tickLblPos val="nextTo"/>
        <c:txPr>
          <a:bodyPr/>
          <a:lstStyle/>
          <a:p>
            <a:pPr>
              <a:defRPr lang="en-US"/>
            </a:pPr>
            <a:endParaRPr lang="en-US"/>
          </a:p>
        </c:txPr>
        <c:crossAx val="357746624"/>
        <c:crosses val="autoZero"/>
        <c:auto val="1"/>
        <c:lblAlgn val="ctr"/>
        <c:lblOffset val="100"/>
        <c:noMultiLvlLbl val="0"/>
      </c:catAx>
      <c:valAx>
        <c:axId val="35774662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774505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 and Climate Change</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Portfolio'!$AZ$23:$BC$23</c:f>
              <c:numCache>
                <c:formatCode>0.00%</c:formatCode>
                <c:ptCount val="4"/>
                <c:pt idx="0">
                  <c:v>0.83333333333333326</c:v>
                </c:pt>
                <c:pt idx="1">
                  <c:v>0.90322580645161288</c:v>
                </c:pt>
                <c:pt idx="2">
                  <c:v>0.90909090909090917</c:v>
                </c:pt>
                <c:pt idx="3">
                  <c:v>0.91176470588235292</c:v>
                </c:pt>
              </c:numCache>
            </c:numRef>
          </c:val>
          <c:smooth val="0"/>
          <c:extLst>
            <c:ext xmlns:c16="http://schemas.microsoft.com/office/drawing/2014/chart" uri="{C3380CC4-5D6E-409C-BE32-E72D297353CC}">
              <c16:uniqueId val="{00000002-4EC1-42D6-A9C5-700482F9C12B}"/>
            </c:ext>
          </c:extLst>
        </c:ser>
        <c:ser>
          <c:idx val="1"/>
          <c:order val="1"/>
          <c:tx>
            <c:strRef>
              <c:f>'3b.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Portfolio'!$AZ$24:$BC$24</c:f>
              <c:numCache>
                <c:formatCode>0.00%</c:formatCode>
                <c:ptCount val="4"/>
                <c:pt idx="0">
                  <c:v>0.16666666666666666</c:v>
                </c:pt>
                <c:pt idx="1">
                  <c:v>6.4516129032258063E-2</c:v>
                </c:pt>
                <c:pt idx="2">
                  <c:v>6.0606060606060608E-2</c:v>
                </c:pt>
                <c:pt idx="3">
                  <c:v>2.9411764705882353E-2</c:v>
                </c:pt>
              </c:numCache>
            </c:numRef>
          </c:val>
          <c:smooth val="0"/>
          <c:extLst>
            <c:ext xmlns:c16="http://schemas.microsoft.com/office/drawing/2014/chart" uri="{C3380CC4-5D6E-409C-BE32-E72D297353CC}">
              <c16:uniqueId val="{00000005-4EC1-42D6-A9C5-700482F9C12B}"/>
            </c:ext>
          </c:extLst>
        </c:ser>
        <c:ser>
          <c:idx val="2"/>
          <c:order val="2"/>
          <c:tx>
            <c:strRef>
              <c:f>'3b.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Portfolio'!$AZ$25:$BC$25</c:f>
              <c:numCache>
                <c:formatCode>0.00%</c:formatCode>
                <c:ptCount val="4"/>
                <c:pt idx="0">
                  <c:v>0</c:v>
                </c:pt>
                <c:pt idx="1">
                  <c:v>3.2258064516129031E-2</c:v>
                </c:pt>
                <c:pt idx="2">
                  <c:v>3.0303030303030304E-2</c:v>
                </c:pt>
                <c:pt idx="3">
                  <c:v>5.8823529411764705E-2</c:v>
                </c:pt>
              </c:numCache>
            </c:numRef>
          </c:val>
          <c:smooth val="0"/>
          <c:extLs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357745448"/>
        <c:axId val="357749368"/>
      </c:lineChart>
      <c:catAx>
        <c:axId val="357745448"/>
        <c:scaling>
          <c:orientation val="minMax"/>
        </c:scaling>
        <c:delete val="0"/>
        <c:axPos val="b"/>
        <c:numFmt formatCode="General" sourceLinked="0"/>
        <c:majorTickMark val="out"/>
        <c:minorTickMark val="none"/>
        <c:tickLblPos val="nextTo"/>
        <c:txPr>
          <a:bodyPr/>
          <a:lstStyle/>
          <a:p>
            <a:pPr>
              <a:defRPr lang="en-US"/>
            </a:pPr>
            <a:endParaRPr lang="en-US"/>
          </a:p>
        </c:txPr>
        <c:crossAx val="357749368"/>
        <c:crosses val="autoZero"/>
        <c:auto val="1"/>
        <c:lblAlgn val="ctr"/>
        <c:lblOffset val="100"/>
        <c:noMultiLvlLbl val="0"/>
      </c:catAx>
      <c:valAx>
        <c:axId val="35774936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774544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b="1" i="0" u="sng" baseline="0">
                <a:effectLst/>
                <a:latin typeface="Arial" panose="020B0604020202020204" pitchFamily="34" charset="0"/>
                <a:cs typeface="Arial" panose="020B0604020202020204" pitchFamily="34" charset="0"/>
              </a:rPr>
              <a:t>Finance and Treasury Management</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Portfolio'!$AZ$39:$BC$39</c:f>
              <c:numCache>
                <c:formatCode>0.00%</c:formatCode>
                <c:ptCount val="4"/>
                <c:pt idx="0">
                  <c:v>1</c:v>
                </c:pt>
                <c:pt idx="1">
                  <c:v>1</c:v>
                </c:pt>
                <c:pt idx="2">
                  <c:v>1</c:v>
                </c:pt>
                <c:pt idx="3">
                  <c:v>1</c:v>
                </c:pt>
              </c:numCache>
            </c:numRef>
          </c:val>
          <c:smooth val="0"/>
          <c:extLst>
            <c:ext xmlns:c16="http://schemas.microsoft.com/office/drawing/2014/chart" uri="{C3380CC4-5D6E-409C-BE32-E72D297353CC}">
              <c16:uniqueId val="{00000002-E215-4B0B-B47F-FB16DB6996D9}"/>
            </c:ext>
          </c:extLst>
        </c:ser>
        <c:ser>
          <c:idx val="1"/>
          <c:order val="1"/>
          <c:tx>
            <c:strRef>
              <c:f>'3b.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Portfolio'!$AZ$40:$BC$40</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E215-4B0B-B47F-FB16DB6996D9}"/>
            </c:ext>
          </c:extLst>
        </c:ser>
        <c:ser>
          <c:idx val="2"/>
          <c:order val="2"/>
          <c:tx>
            <c:strRef>
              <c:f>'3b.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215-4B0B-B47F-FB16DB6996D9}"/>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215-4B0B-B47F-FB16DB6996D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Portfolio'!$AZ$41:$BC$41</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357752112"/>
        <c:axId val="357744664"/>
      </c:lineChart>
      <c:catAx>
        <c:axId val="357752112"/>
        <c:scaling>
          <c:orientation val="minMax"/>
        </c:scaling>
        <c:delete val="0"/>
        <c:axPos val="b"/>
        <c:numFmt formatCode="General" sourceLinked="0"/>
        <c:majorTickMark val="out"/>
        <c:minorTickMark val="none"/>
        <c:tickLblPos val="nextTo"/>
        <c:txPr>
          <a:bodyPr/>
          <a:lstStyle/>
          <a:p>
            <a:pPr>
              <a:defRPr lang="en-US"/>
            </a:pPr>
            <a:endParaRPr lang="en-US"/>
          </a:p>
        </c:txPr>
        <c:crossAx val="357744664"/>
        <c:crosses val="autoZero"/>
        <c:auto val="1"/>
        <c:lblAlgn val="ctr"/>
        <c:lblOffset val="100"/>
        <c:noMultiLvlLbl val="0"/>
      </c:catAx>
      <c:valAx>
        <c:axId val="35774466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775211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600" b="1" i="0" u="sng" baseline="0">
                <a:effectLst/>
              </a:rPr>
              <a:t>Leader</a:t>
            </a:r>
            <a:endParaRPr lang="en-GB" sz="1100" u="sng">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Portfolio'!$AZ$55:$BC$55</c:f>
              <c:numCache>
                <c:formatCode>0.00%</c:formatCode>
                <c:ptCount val="4"/>
                <c:pt idx="0">
                  <c:v>1</c:v>
                </c:pt>
                <c:pt idx="1">
                  <c:v>1</c:v>
                </c:pt>
                <c:pt idx="2">
                  <c:v>1</c:v>
                </c:pt>
                <c:pt idx="3">
                  <c:v>1</c:v>
                </c:pt>
              </c:numCache>
            </c:numRef>
          </c:val>
          <c:smooth val="0"/>
          <c:extLst>
            <c:ext xmlns:c16="http://schemas.microsoft.com/office/drawing/2014/chart" uri="{C3380CC4-5D6E-409C-BE32-E72D297353CC}">
              <c16:uniqueId val="{00000002-422E-4855-963A-4506A3413D88}"/>
            </c:ext>
          </c:extLst>
        </c:ser>
        <c:ser>
          <c:idx val="1"/>
          <c:order val="1"/>
          <c:tx>
            <c:strRef>
              <c:f>'3b.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2E-4855-963A-4506A3413D88}"/>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Portfolio'!$AZ$56:$BC$56</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7-422E-4855-963A-4506A3413D88}"/>
            </c:ext>
          </c:extLst>
        </c:ser>
        <c:ser>
          <c:idx val="2"/>
          <c:order val="2"/>
          <c:tx>
            <c:strRef>
              <c:f>'3b.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Portfolio'!$AZ$57:$BC$57</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357749760"/>
        <c:axId val="357748192"/>
      </c:lineChart>
      <c:catAx>
        <c:axId val="357749760"/>
        <c:scaling>
          <c:orientation val="minMax"/>
        </c:scaling>
        <c:delete val="0"/>
        <c:axPos val="b"/>
        <c:numFmt formatCode="General" sourceLinked="0"/>
        <c:majorTickMark val="out"/>
        <c:minorTickMark val="none"/>
        <c:tickLblPos val="nextTo"/>
        <c:txPr>
          <a:bodyPr/>
          <a:lstStyle/>
          <a:p>
            <a:pPr>
              <a:defRPr lang="en-US"/>
            </a:pPr>
            <a:endParaRPr lang="en-US"/>
          </a:p>
        </c:txPr>
        <c:crossAx val="357748192"/>
        <c:crosses val="autoZero"/>
        <c:auto val="1"/>
        <c:lblAlgn val="ctr"/>
        <c:lblOffset val="100"/>
        <c:noMultiLvlLbl val="0"/>
      </c:catAx>
      <c:valAx>
        <c:axId val="357748192"/>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35774976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sng" baseline="0">
                <a:effectLst/>
              </a:rPr>
              <a:t>Communities and Regulatory Services</a:t>
            </a:r>
            <a:endParaRPr lang="en-GB">
              <a:effectLst/>
            </a:endParaRPr>
          </a:p>
          <a:p>
            <a:pPr>
              <a:defRPr lang="en-US" u="none"/>
            </a:pPr>
            <a:r>
              <a:rPr lang="en-US" u="none"/>
              <a:t>- Quarter 1</a:t>
            </a:r>
          </a:p>
        </c:rich>
      </c:tx>
      <c:layout>
        <c:manualLayout>
          <c:xMode val="edge"/>
          <c:yMode val="edge"/>
          <c:x val="0.14580677415323084"/>
          <c:y val="2.7894002789400279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Portfolio'!$AZ$6</c:f>
              <c:strCache>
                <c:ptCount val="1"/>
                <c:pt idx="0">
                  <c:v>Q1</c:v>
                </c:pt>
              </c:strCache>
            </c:strRef>
          </c:tx>
          <c:dPt>
            <c:idx val="0"/>
            <c:bubble3D val="0"/>
            <c:spPr>
              <a:solidFill>
                <a:srgbClr val="92D050"/>
              </a:solidFill>
            </c:spPr>
            <c:extLst>
              <c:ext xmlns:c16="http://schemas.microsoft.com/office/drawing/2014/chart" uri="{C3380CC4-5D6E-409C-BE32-E72D297353CC}">
                <c16:uniqueId val="{00000000-55F9-476C-B40B-AE40098D7A18}"/>
              </c:ext>
            </c:extLst>
          </c:dPt>
          <c:dPt>
            <c:idx val="1"/>
            <c:bubble3D val="0"/>
            <c:spPr>
              <a:solidFill>
                <a:srgbClr val="FFC000"/>
              </a:solidFill>
            </c:spPr>
            <c:extLst>
              <c:ext xmlns:c16="http://schemas.microsoft.com/office/drawing/2014/chart" uri="{C3380CC4-5D6E-409C-BE32-E72D297353CC}">
                <c16:uniqueId val="{00000001-55F9-476C-B40B-AE40098D7A18}"/>
              </c:ext>
            </c:extLst>
          </c:dPt>
          <c:dPt>
            <c:idx val="2"/>
            <c:bubble3D val="0"/>
            <c:spPr>
              <a:solidFill>
                <a:srgbClr val="FF0000"/>
              </a:solidFill>
            </c:spPr>
            <c:extLs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Portfolio'!$AZ$7:$AZ$9</c:f>
              <c:numCache>
                <c:formatCode>0.00%</c:formatCode>
                <c:ptCount val="3"/>
                <c:pt idx="0">
                  <c:v>0.94444444444444442</c:v>
                </c:pt>
                <c:pt idx="1">
                  <c:v>5.5555555555555552E-2</c:v>
                </c:pt>
                <c:pt idx="2">
                  <c:v>0</c:v>
                </c:pt>
              </c:numCache>
            </c:numRef>
          </c:val>
          <c:extLs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GB" sz="1800" b="1" i="0" u="sng" baseline="0">
                <a:effectLst/>
              </a:rPr>
              <a:t>Environment and Climate Change</a:t>
            </a:r>
            <a:endParaRPr lang="en-GB" sz="1800" b="1" i="0" u="none" baseline="0">
              <a:effectLst/>
            </a:endParaRPr>
          </a:p>
          <a:p>
            <a:pPr algn="ctr">
              <a:defRPr lang="en-US"/>
            </a:pPr>
            <a:r>
              <a:rPr lang="en-GB" sz="1800" b="1" i="0" u="none" baseline="0">
                <a:effectLst/>
              </a:rPr>
              <a:t>- </a:t>
            </a:r>
            <a:r>
              <a:rPr lang="en-US"/>
              <a:t>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Portfolio'!$AZ$23</c:f>
              <c:numCache>
                <c:formatCode>0.00%</c:formatCode>
                <c:ptCount val="1"/>
                <c:pt idx="0">
                  <c:v>0.83333333333333326</c:v>
                </c:pt>
              </c:numCache>
            </c:numRef>
          </c:val>
          <c:extLst>
            <c:ext xmlns:c16="http://schemas.microsoft.com/office/drawing/2014/chart" uri="{C3380CC4-5D6E-409C-BE32-E72D297353CC}">
              <c16:uniqueId val="{00000002-9322-4A15-8F9B-7E05C26A6F5F}"/>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Portfolio'!$AZ$24</c:f>
              <c:numCache>
                <c:formatCode>0.00%</c:formatCode>
                <c:ptCount val="1"/>
                <c:pt idx="0">
                  <c:v>0.16666666666666666</c:v>
                </c:pt>
              </c:numCache>
            </c:numRef>
          </c:val>
          <c:extLst>
            <c:ext xmlns:c16="http://schemas.microsoft.com/office/drawing/2014/chart" uri="{C3380CC4-5D6E-409C-BE32-E72D297353CC}">
              <c16:uniqueId val="{00000005-9322-4A15-8F9B-7E05C26A6F5F}"/>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Portfolio'!$AZ$25</c:f>
              <c:numCache>
                <c:formatCode>0.00%</c:formatCode>
                <c:ptCount val="1"/>
                <c:pt idx="0">
                  <c:v>0</c:v>
                </c:pt>
              </c:numCache>
            </c:numRef>
          </c:val>
          <c:extLst>
            <c:ext xmlns:c16="http://schemas.microsoft.com/office/drawing/2014/chart" uri="{C3380CC4-5D6E-409C-BE32-E72D297353CC}">
              <c16:uniqueId val="{00000008-9322-4A15-8F9B-7E05C26A6F5F}"/>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and Treasury Management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Portfolio'!$AZ$38</c:f>
              <c:strCache>
                <c:ptCount val="1"/>
                <c:pt idx="0">
                  <c:v>Q1</c:v>
                </c:pt>
              </c:strCache>
            </c:strRef>
          </c:tx>
          <c:dPt>
            <c:idx val="0"/>
            <c:bubble3D val="0"/>
            <c:spPr>
              <a:solidFill>
                <a:srgbClr val="92D050"/>
              </a:solidFill>
            </c:spPr>
            <c:extLst>
              <c:ext xmlns:c16="http://schemas.microsoft.com/office/drawing/2014/chart" uri="{C3380CC4-5D6E-409C-BE32-E72D297353CC}">
                <c16:uniqueId val="{00000000-9E2F-48C6-9FCA-4594776C5E51}"/>
              </c:ext>
            </c:extLst>
          </c:dPt>
          <c:dPt>
            <c:idx val="1"/>
            <c:bubble3D val="0"/>
            <c:spPr>
              <a:solidFill>
                <a:srgbClr val="FFC000"/>
              </a:solidFill>
            </c:spPr>
            <c:extLst>
              <c:ext xmlns:c16="http://schemas.microsoft.com/office/drawing/2014/chart" uri="{C3380CC4-5D6E-409C-BE32-E72D297353CC}">
                <c16:uniqueId val="{00000001-9E2F-48C6-9FCA-4594776C5E51}"/>
              </c:ext>
            </c:extLst>
          </c:dPt>
          <c:dPt>
            <c:idx val="2"/>
            <c:bubble3D val="0"/>
            <c:spPr>
              <a:solidFill>
                <a:srgbClr val="FF0000"/>
              </a:solidFill>
            </c:spPr>
            <c:extLs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Portfolio'!$AZ$39:$AZ$41</c:f>
              <c:numCache>
                <c:formatCode>0.00%</c:formatCode>
                <c:ptCount val="3"/>
                <c:pt idx="0">
                  <c:v>1</c:v>
                </c:pt>
                <c:pt idx="1">
                  <c:v>0</c:v>
                </c:pt>
                <c:pt idx="2">
                  <c:v>0</c:v>
                </c:pt>
              </c:numCache>
            </c:numRef>
          </c:val>
          <c:extLs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Leader</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Portfolio'!$AZ$54</c:f>
              <c:strCache>
                <c:ptCount val="1"/>
                <c:pt idx="0">
                  <c:v>Q1</c:v>
                </c:pt>
              </c:strCache>
            </c:strRef>
          </c:tx>
          <c:dPt>
            <c:idx val="0"/>
            <c:bubble3D val="0"/>
            <c:spPr>
              <a:solidFill>
                <a:srgbClr val="92D050"/>
              </a:solidFill>
            </c:spPr>
            <c:extLst>
              <c:ext xmlns:c16="http://schemas.microsoft.com/office/drawing/2014/chart" uri="{C3380CC4-5D6E-409C-BE32-E72D297353CC}">
                <c16:uniqueId val="{00000000-8E56-4E55-85E3-CA2CD9C61B45}"/>
              </c:ext>
            </c:extLst>
          </c:dPt>
          <c:dPt>
            <c:idx val="1"/>
            <c:bubble3D val="0"/>
            <c:spPr>
              <a:solidFill>
                <a:srgbClr val="FFC000"/>
              </a:solidFill>
            </c:spPr>
            <c:extLst>
              <c:ext xmlns:c16="http://schemas.microsoft.com/office/drawing/2014/chart" uri="{C3380CC4-5D6E-409C-BE32-E72D297353CC}">
                <c16:uniqueId val="{00000001-8E56-4E55-85E3-CA2CD9C61B45}"/>
              </c:ext>
            </c:extLst>
          </c:dPt>
          <c:dPt>
            <c:idx val="2"/>
            <c:bubble3D val="0"/>
            <c:spPr>
              <a:solidFill>
                <a:srgbClr val="FF0000"/>
              </a:solidFill>
            </c:spPr>
            <c:extLs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Portfolio'!$AZ$55:$AZ$57</c:f>
              <c:numCache>
                <c:formatCode>0.00%</c:formatCode>
                <c:ptCount val="3"/>
                <c:pt idx="0">
                  <c:v>1</c:v>
                </c:pt>
                <c:pt idx="1">
                  <c:v>0</c:v>
                </c:pt>
                <c:pt idx="2">
                  <c:v>0</c:v>
                </c:pt>
              </c:numCache>
            </c:numRef>
          </c:val>
          <c:extLs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Communities and Regulatory Services</a:t>
            </a:r>
            <a:endParaRPr lang="en-GB">
              <a:effectLst/>
            </a:endParaRPr>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Portfolio'!$BA$6</c:f>
              <c:strCache>
                <c:ptCount val="1"/>
                <c:pt idx="0">
                  <c:v>Q2</c:v>
                </c:pt>
              </c:strCache>
            </c:strRef>
          </c:tx>
          <c:dPt>
            <c:idx val="0"/>
            <c:bubble3D val="0"/>
            <c:spPr>
              <a:solidFill>
                <a:srgbClr val="92D050"/>
              </a:solidFill>
            </c:spPr>
            <c:extLst>
              <c:ext xmlns:c16="http://schemas.microsoft.com/office/drawing/2014/chart" uri="{C3380CC4-5D6E-409C-BE32-E72D297353CC}">
                <c16:uniqueId val="{00000000-4F11-46D7-AF65-C0358BA75293}"/>
              </c:ext>
            </c:extLst>
          </c:dPt>
          <c:dPt>
            <c:idx val="1"/>
            <c:bubble3D val="0"/>
            <c:spPr>
              <a:solidFill>
                <a:srgbClr val="FFC000"/>
              </a:solidFill>
            </c:spPr>
            <c:extLst>
              <c:ext xmlns:c16="http://schemas.microsoft.com/office/drawing/2014/chart" uri="{C3380CC4-5D6E-409C-BE32-E72D297353CC}">
                <c16:uniqueId val="{00000001-4F11-46D7-AF65-C0358BA75293}"/>
              </c:ext>
            </c:extLst>
          </c:dPt>
          <c:dPt>
            <c:idx val="2"/>
            <c:bubble3D val="0"/>
            <c:spPr>
              <a:solidFill>
                <a:srgbClr val="FF0000"/>
              </a:solidFill>
            </c:spPr>
            <c:extLs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Portfolio'!$BA$7:$BA$9</c:f>
              <c:numCache>
                <c:formatCode>0.00%</c:formatCode>
                <c:ptCount val="3"/>
                <c:pt idx="0">
                  <c:v>0.95454545454545459</c:v>
                </c:pt>
                <c:pt idx="1">
                  <c:v>0</c:v>
                </c:pt>
                <c:pt idx="2">
                  <c:v>4.5454545454545456E-2</c:v>
                </c:pt>
              </c:numCache>
            </c:numRef>
          </c:val>
          <c:extLs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Developing a Green New Deal</a:t>
            </a:r>
            <a:r>
              <a:rPr lang="en-GB" sz="1100" baseline="0">
                <a:latin typeface="Arial" pitchFamily="34" charset="0"/>
                <a:cs typeface="Arial" pitchFamily="34" charset="0"/>
              </a:rPr>
              <a:t> for East Staffordshire</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Priority'!$AZ$55:$BC$55</c:f>
              <c:numCache>
                <c:formatCode>0.00%</c:formatCode>
                <c:ptCount val="4"/>
                <c:pt idx="0">
                  <c:v>0.8571428571428571</c:v>
                </c:pt>
                <c:pt idx="1">
                  <c:v>1</c:v>
                </c:pt>
                <c:pt idx="2">
                  <c:v>1</c:v>
                </c:pt>
                <c:pt idx="3">
                  <c:v>0.90909090909090906</c:v>
                </c:pt>
              </c:numCache>
            </c:numRef>
          </c:val>
          <c:smooth val="0"/>
          <c:extLs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FD6-404C-92E4-D5A1C46C6F90}"/>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Priority'!$AZ$56:$BC$56</c:f>
              <c:numCache>
                <c:formatCode>0.00%</c:formatCode>
                <c:ptCount val="4"/>
                <c:pt idx="0">
                  <c:v>0.14285714285714285</c:v>
                </c:pt>
                <c:pt idx="1">
                  <c:v>0</c:v>
                </c:pt>
                <c:pt idx="2">
                  <c:v>0</c:v>
                </c:pt>
                <c:pt idx="3">
                  <c:v>0</c:v>
                </c:pt>
              </c:numCache>
            </c:numRef>
          </c:val>
          <c:smooth val="0"/>
          <c:extLs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Priority'!$AZ$57:$BC$57</c:f>
              <c:numCache>
                <c:formatCode>0.00%</c:formatCode>
                <c:ptCount val="4"/>
                <c:pt idx="0">
                  <c:v>0</c:v>
                </c:pt>
                <c:pt idx="1">
                  <c:v>0</c:v>
                </c:pt>
                <c:pt idx="2">
                  <c:v>0</c:v>
                </c:pt>
                <c:pt idx="3">
                  <c:v>9.0909090909090912E-2</c:v>
                </c:pt>
              </c:numCache>
            </c:numRef>
          </c:val>
          <c:smooth val="0"/>
          <c:extLs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356719496"/>
        <c:axId val="356715576"/>
      </c:lineChart>
      <c:catAx>
        <c:axId val="356719496"/>
        <c:scaling>
          <c:orientation val="minMax"/>
        </c:scaling>
        <c:delete val="0"/>
        <c:axPos val="b"/>
        <c:numFmt formatCode="General" sourceLinked="0"/>
        <c:majorTickMark val="out"/>
        <c:minorTickMark val="none"/>
        <c:tickLblPos val="nextTo"/>
        <c:txPr>
          <a:bodyPr/>
          <a:lstStyle/>
          <a:p>
            <a:pPr>
              <a:defRPr lang="en-US"/>
            </a:pPr>
            <a:endParaRPr lang="en-US"/>
          </a:p>
        </c:txPr>
        <c:crossAx val="356715576"/>
        <c:crosses val="autoZero"/>
        <c:auto val="1"/>
        <c:lblAlgn val="ctr"/>
        <c:lblOffset val="100"/>
        <c:noMultiLvlLbl val="0"/>
      </c:catAx>
      <c:valAx>
        <c:axId val="35671557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671949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Portfolio'!$BA$22</c:f>
              <c:strCache>
                <c:ptCount val="1"/>
                <c:pt idx="0">
                  <c:v>Q2</c:v>
                </c:pt>
              </c:strCache>
            </c:strRef>
          </c:tx>
          <c:dPt>
            <c:idx val="0"/>
            <c:bubble3D val="0"/>
            <c:spPr>
              <a:solidFill>
                <a:srgbClr val="92D050"/>
              </a:solidFill>
            </c:spPr>
            <c:extLst>
              <c:ext xmlns:c16="http://schemas.microsoft.com/office/drawing/2014/chart" uri="{C3380CC4-5D6E-409C-BE32-E72D297353CC}">
                <c16:uniqueId val="{00000000-9981-4ECA-8145-38C665E1F7E9}"/>
              </c:ext>
            </c:extLst>
          </c:dPt>
          <c:dPt>
            <c:idx val="2"/>
            <c:bubble3D val="0"/>
            <c:spPr>
              <a:solidFill>
                <a:srgbClr val="FF0000"/>
              </a:solidFill>
            </c:spPr>
            <c:extLs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Portfolio'!$BA$23:$BA$25</c:f>
              <c:numCache>
                <c:formatCode>0.00%</c:formatCode>
                <c:ptCount val="3"/>
                <c:pt idx="0">
                  <c:v>0.90322580645161288</c:v>
                </c:pt>
                <c:pt idx="1">
                  <c:v>6.4516129032258063E-2</c:v>
                </c:pt>
                <c:pt idx="2">
                  <c:v>3.2258064516129031E-2</c:v>
                </c:pt>
              </c:numCache>
            </c:numRef>
          </c:val>
          <c:extLs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and Treasury Management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Portfolio'!$BA$38</c:f>
              <c:strCache>
                <c:ptCount val="1"/>
                <c:pt idx="0">
                  <c:v>Q2</c:v>
                </c:pt>
              </c:strCache>
            </c:strRef>
          </c:tx>
          <c:dPt>
            <c:idx val="0"/>
            <c:bubble3D val="0"/>
            <c:spPr>
              <a:solidFill>
                <a:srgbClr val="92D050"/>
              </a:solidFill>
            </c:spPr>
            <c:extLst>
              <c:ext xmlns:c16="http://schemas.microsoft.com/office/drawing/2014/chart" uri="{C3380CC4-5D6E-409C-BE32-E72D297353CC}">
                <c16:uniqueId val="{00000000-6647-440E-AD13-1330B422D0EF}"/>
              </c:ext>
            </c:extLst>
          </c:dPt>
          <c:dPt>
            <c:idx val="1"/>
            <c:bubble3D val="0"/>
            <c:spPr>
              <a:solidFill>
                <a:srgbClr val="FFC000"/>
              </a:solidFill>
            </c:spPr>
            <c:extLst>
              <c:ext xmlns:c16="http://schemas.microsoft.com/office/drawing/2014/chart" uri="{C3380CC4-5D6E-409C-BE32-E72D297353CC}">
                <c16:uniqueId val="{00000001-6647-440E-AD13-1330B422D0EF}"/>
              </c:ext>
            </c:extLst>
          </c:dPt>
          <c:dPt>
            <c:idx val="2"/>
            <c:bubble3D val="0"/>
            <c:spPr>
              <a:solidFill>
                <a:srgbClr val="FF0000"/>
              </a:solidFill>
            </c:spPr>
            <c:extLs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Portfolio'!$BA$39:$BA$41</c:f>
              <c:numCache>
                <c:formatCode>0.00%</c:formatCode>
                <c:ptCount val="3"/>
                <c:pt idx="0">
                  <c:v>1</c:v>
                </c:pt>
                <c:pt idx="1">
                  <c:v>0</c:v>
                </c:pt>
                <c:pt idx="2">
                  <c:v>0</c:v>
                </c:pt>
              </c:numCache>
            </c:numRef>
          </c:val>
          <c:extLs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Leader</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Portfolio'!$BA$54</c:f>
              <c:strCache>
                <c:ptCount val="1"/>
                <c:pt idx="0">
                  <c:v>Q2</c:v>
                </c:pt>
              </c:strCache>
            </c:strRef>
          </c:tx>
          <c:dPt>
            <c:idx val="0"/>
            <c:bubble3D val="0"/>
            <c:spPr>
              <a:solidFill>
                <a:srgbClr val="92D050"/>
              </a:solidFill>
            </c:spPr>
            <c:extLst>
              <c:ext xmlns:c16="http://schemas.microsoft.com/office/drawing/2014/chart" uri="{C3380CC4-5D6E-409C-BE32-E72D297353CC}">
                <c16:uniqueId val="{00000000-1F5D-4394-8264-45F30C4E27AF}"/>
              </c:ext>
            </c:extLst>
          </c:dPt>
          <c:dPt>
            <c:idx val="1"/>
            <c:bubble3D val="0"/>
            <c:spPr>
              <a:solidFill>
                <a:srgbClr val="FFC000"/>
              </a:solidFill>
            </c:spPr>
            <c:extLst>
              <c:ext xmlns:c16="http://schemas.microsoft.com/office/drawing/2014/chart" uri="{C3380CC4-5D6E-409C-BE32-E72D297353CC}">
                <c16:uniqueId val="{00000001-1F5D-4394-8264-45F30C4E27AF}"/>
              </c:ext>
            </c:extLst>
          </c:dPt>
          <c:dPt>
            <c:idx val="2"/>
            <c:bubble3D val="0"/>
            <c:spPr>
              <a:solidFill>
                <a:srgbClr val="FF0000"/>
              </a:solidFill>
            </c:spPr>
            <c:extLs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Portfolio'!$BA$55:$BA$57</c:f>
              <c:numCache>
                <c:formatCode>0.00%</c:formatCode>
                <c:ptCount val="3"/>
                <c:pt idx="0">
                  <c:v>1</c:v>
                </c:pt>
                <c:pt idx="1">
                  <c:v>0</c:v>
                </c:pt>
                <c:pt idx="2">
                  <c:v>0</c:v>
                </c:pt>
              </c:numCache>
            </c:numRef>
          </c:val>
          <c:extLs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Communities and Regulatory Services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Portfolio'!$BB$6</c:f>
              <c:strCache>
                <c:ptCount val="1"/>
                <c:pt idx="0">
                  <c:v>Q3</c:v>
                </c:pt>
              </c:strCache>
            </c:strRef>
          </c:tx>
          <c:dPt>
            <c:idx val="0"/>
            <c:bubble3D val="0"/>
            <c:spPr>
              <a:solidFill>
                <a:srgbClr val="92D050"/>
              </a:solidFill>
            </c:spPr>
            <c:extLst>
              <c:ext xmlns:c16="http://schemas.microsoft.com/office/drawing/2014/chart" uri="{C3380CC4-5D6E-409C-BE32-E72D297353CC}">
                <c16:uniqueId val="{00000000-B8E1-4776-BA6B-5DBE755A9E39}"/>
              </c:ext>
            </c:extLst>
          </c:dPt>
          <c:dPt>
            <c:idx val="1"/>
            <c:bubble3D val="0"/>
            <c:spPr>
              <a:solidFill>
                <a:srgbClr val="FFC000"/>
              </a:solidFill>
            </c:spPr>
            <c:extLst>
              <c:ext xmlns:c16="http://schemas.microsoft.com/office/drawing/2014/chart" uri="{C3380CC4-5D6E-409C-BE32-E72D297353CC}">
                <c16:uniqueId val="{00000001-B8E1-4776-BA6B-5DBE755A9E39}"/>
              </c:ext>
            </c:extLst>
          </c:dPt>
          <c:dPt>
            <c:idx val="2"/>
            <c:bubble3D val="0"/>
            <c:spPr>
              <a:solidFill>
                <a:srgbClr val="FF0000"/>
              </a:solidFill>
            </c:spPr>
            <c:extLs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Portfolio'!$BB$7:$BB$9</c:f>
              <c:numCache>
                <c:formatCode>0.00%</c:formatCode>
                <c:ptCount val="3"/>
                <c:pt idx="0">
                  <c:v>0.95652173913043481</c:v>
                </c:pt>
                <c:pt idx="1">
                  <c:v>0</c:v>
                </c:pt>
                <c:pt idx="2">
                  <c:v>4.3478260869565216E-2</c:v>
                </c:pt>
              </c:numCache>
            </c:numRef>
          </c:val>
          <c:extLs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Communities and Regulatory Services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Portfolio'!$BC$6</c:f>
              <c:strCache>
                <c:ptCount val="1"/>
                <c:pt idx="0">
                  <c:v>Q4</c:v>
                </c:pt>
              </c:strCache>
            </c:strRef>
          </c:tx>
          <c:dPt>
            <c:idx val="0"/>
            <c:bubble3D val="0"/>
            <c:spPr>
              <a:solidFill>
                <a:srgbClr val="92D050"/>
              </a:solidFill>
            </c:spPr>
            <c:extLst>
              <c:ext xmlns:c16="http://schemas.microsoft.com/office/drawing/2014/chart" uri="{C3380CC4-5D6E-409C-BE32-E72D297353CC}">
                <c16:uniqueId val="{00000000-A044-4CDD-BEFC-B41AFA59B1A1}"/>
              </c:ext>
            </c:extLst>
          </c:dPt>
          <c:dPt>
            <c:idx val="1"/>
            <c:bubble3D val="0"/>
            <c:spPr>
              <a:solidFill>
                <a:srgbClr val="FFC000"/>
              </a:solidFill>
            </c:spPr>
            <c:extLst>
              <c:ext xmlns:c16="http://schemas.microsoft.com/office/drawing/2014/chart" uri="{C3380CC4-5D6E-409C-BE32-E72D297353CC}">
                <c16:uniqueId val="{00000001-A044-4CDD-BEFC-B41AFA59B1A1}"/>
              </c:ext>
            </c:extLst>
          </c:dPt>
          <c:dPt>
            <c:idx val="2"/>
            <c:bubble3D val="0"/>
            <c:spPr>
              <a:solidFill>
                <a:srgbClr val="FF0000"/>
              </a:solidFill>
            </c:spPr>
            <c:extLs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Portfolio'!$BC$7:$BC$9</c:f>
              <c:numCache>
                <c:formatCode>0.00%</c:formatCode>
                <c:ptCount val="3"/>
                <c:pt idx="0">
                  <c:v>0.91304347826086951</c:v>
                </c:pt>
                <c:pt idx="1">
                  <c:v>0</c:v>
                </c:pt>
                <c:pt idx="2">
                  <c:v>8.6956521739130432E-2</c:v>
                </c:pt>
              </c:numCache>
            </c:numRef>
          </c:val>
          <c:extLs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Environment and Climate Change</a:t>
            </a:r>
            <a:endParaRPr lang="en-GB">
              <a:effectLst/>
            </a:endParaRP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Portfolio'!$BB$23</c:f>
              <c:numCache>
                <c:formatCode>0.00%</c:formatCode>
                <c:ptCount val="1"/>
                <c:pt idx="0">
                  <c:v>0.90909090909090917</c:v>
                </c:pt>
              </c:numCache>
            </c:numRef>
          </c:val>
          <c:extLst>
            <c:ext xmlns:c16="http://schemas.microsoft.com/office/drawing/2014/chart" uri="{C3380CC4-5D6E-409C-BE32-E72D297353CC}">
              <c16:uniqueId val="{00000002-DEEF-4D09-BC8A-0971159A9403}"/>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Portfolio'!$BB$24</c:f>
              <c:numCache>
                <c:formatCode>0.00%</c:formatCode>
                <c:ptCount val="1"/>
                <c:pt idx="0">
                  <c:v>6.0606060606060608E-2</c:v>
                </c:pt>
              </c:numCache>
            </c:numRef>
          </c:val>
          <c:extLst>
            <c:ext xmlns:c16="http://schemas.microsoft.com/office/drawing/2014/chart" uri="{C3380CC4-5D6E-409C-BE32-E72D297353CC}">
              <c16:uniqueId val="{00000005-DEEF-4D09-BC8A-0971159A9403}"/>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Portfolio'!$BB$25</c:f>
              <c:numCache>
                <c:formatCode>0.00%</c:formatCode>
                <c:ptCount val="1"/>
                <c:pt idx="0">
                  <c:v>3.0303030303030304E-2</c:v>
                </c:pt>
              </c:numCache>
            </c:numRef>
          </c:val>
          <c:extLst>
            <c:ext xmlns:c16="http://schemas.microsoft.com/office/drawing/2014/chart" uri="{C3380CC4-5D6E-409C-BE32-E72D297353CC}">
              <c16:uniqueId val="{00000008-DEEF-4D09-BC8A-0971159A9403}"/>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Environment and Climate Change</a:t>
            </a:r>
            <a:endParaRPr lang="en-GB">
              <a:effectLst/>
            </a:endParaRPr>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Portfolio'!$BC$22</c:f>
              <c:strCache>
                <c:ptCount val="1"/>
                <c:pt idx="0">
                  <c:v>Q4</c:v>
                </c:pt>
              </c:strCache>
            </c:strRef>
          </c:tx>
          <c:dPt>
            <c:idx val="0"/>
            <c:bubble3D val="0"/>
            <c:spPr>
              <a:solidFill>
                <a:srgbClr val="92D050"/>
              </a:solidFill>
            </c:spPr>
            <c:extLst>
              <c:ext xmlns:c16="http://schemas.microsoft.com/office/drawing/2014/chart" uri="{C3380CC4-5D6E-409C-BE32-E72D297353CC}">
                <c16:uniqueId val="{00000000-34FB-4778-BD03-6B685FC94963}"/>
              </c:ext>
            </c:extLst>
          </c:dPt>
          <c:dPt>
            <c:idx val="1"/>
            <c:bubble3D val="0"/>
            <c:spPr>
              <a:solidFill>
                <a:srgbClr val="FFC000"/>
              </a:solidFill>
            </c:spPr>
            <c:extLst>
              <c:ext xmlns:c16="http://schemas.microsoft.com/office/drawing/2014/chart" uri="{C3380CC4-5D6E-409C-BE32-E72D297353CC}">
                <c16:uniqueId val="{00000001-34FB-4778-BD03-6B685FC94963}"/>
              </c:ext>
            </c:extLst>
          </c:dPt>
          <c:dPt>
            <c:idx val="2"/>
            <c:bubble3D val="0"/>
            <c:spPr>
              <a:solidFill>
                <a:srgbClr val="FF0000"/>
              </a:solidFill>
            </c:spPr>
            <c:extLs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Portfolio'!$BC$23:$BC$25</c:f>
              <c:numCache>
                <c:formatCode>0.00%</c:formatCode>
                <c:ptCount val="3"/>
                <c:pt idx="0">
                  <c:v>0.91176470588235292</c:v>
                </c:pt>
                <c:pt idx="1">
                  <c:v>2.9411764705882353E-2</c:v>
                </c:pt>
                <c:pt idx="2">
                  <c:v>5.8823529411764705E-2</c:v>
                </c:pt>
              </c:numCache>
            </c:numRef>
          </c:val>
          <c:extLs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and Treasury Management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Portfolio'!$BB$38</c:f>
              <c:strCache>
                <c:ptCount val="1"/>
                <c:pt idx="0">
                  <c:v>Q3</c:v>
                </c:pt>
              </c:strCache>
            </c:strRef>
          </c:tx>
          <c:dPt>
            <c:idx val="0"/>
            <c:bubble3D val="0"/>
            <c:spPr>
              <a:solidFill>
                <a:srgbClr val="92D050"/>
              </a:solidFill>
            </c:spPr>
            <c:extLst>
              <c:ext xmlns:c16="http://schemas.microsoft.com/office/drawing/2014/chart" uri="{C3380CC4-5D6E-409C-BE32-E72D297353CC}">
                <c16:uniqueId val="{00000000-CC3F-45AC-B5C0-67479774E656}"/>
              </c:ext>
            </c:extLst>
          </c:dPt>
          <c:dPt>
            <c:idx val="1"/>
            <c:bubble3D val="0"/>
            <c:spPr>
              <a:solidFill>
                <a:srgbClr val="FFC000"/>
              </a:solidFill>
            </c:spPr>
            <c:extLst>
              <c:ext xmlns:c16="http://schemas.microsoft.com/office/drawing/2014/chart" uri="{C3380CC4-5D6E-409C-BE32-E72D297353CC}">
                <c16:uniqueId val="{00000001-CC3F-45AC-B5C0-67479774E656}"/>
              </c:ext>
            </c:extLst>
          </c:dPt>
          <c:dPt>
            <c:idx val="2"/>
            <c:bubble3D val="0"/>
            <c:spPr>
              <a:solidFill>
                <a:srgbClr val="FF0000"/>
              </a:solidFill>
            </c:spPr>
            <c:extLs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Portfolio'!$BB$39:$BB$41</c:f>
              <c:numCache>
                <c:formatCode>0.00%</c:formatCode>
                <c:ptCount val="3"/>
                <c:pt idx="0">
                  <c:v>1</c:v>
                </c:pt>
                <c:pt idx="1">
                  <c:v>0</c:v>
                </c:pt>
                <c:pt idx="2">
                  <c:v>0</c:v>
                </c:pt>
              </c:numCache>
            </c:numRef>
          </c:val>
          <c:extLs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GB" sz="1800" b="1" i="0" u="sng" baseline="0">
                <a:effectLst/>
              </a:rPr>
              <a:t>Finance and Treasury Management</a:t>
            </a:r>
            <a:endParaRPr lang="en-GB">
              <a:effectLst/>
            </a:endParaRP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Portfolio'!$BC$38</c:f>
              <c:strCache>
                <c:ptCount val="1"/>
                <c:pt idx="0">
                  <c:v>Q4</c:v>
                </c:pt>
              </c:strCache>
            </c:strRef>
          </c:tx>
          <c:dPt>
            <c:idx val="0"/>
            <c:bubble3D val="0"/>
            <c:spPr>
              <a:solidFill>
                <a:srgbClr val="92D050"/>
              </a:solidFill>
            </c:spPr>
            <c:extLst>
              <c:ext xmlns:c16="http://schemas.microsoft.com/office/drawing/2014/chart" uri="{C3380CC4-5D6E-409C-BE32-E72D297353CC}">
                <c16:uniqueId val="{00000000-36D7-4279-A11D-FA8C082CD372}"/>
              </c:ext>
            </c:extLst>
          </c:dPt>
          <c:dPt>
            <c:idx val="1"/>
            <c:bubble3D val="0"/>
            <c:spPr>
              <a:solidFill>
                <a:srgbClr val="FFC000"/>
              </a:solidFill>
            </c:spPr>
            <c:extLst>
              <c:ext xmlns:c16="http://schemas.microsoft.com/office/drawing/2014/chart" uri="{C3380CC4-5D6E-409C-BE32-E72D297353CC}">
                <c16:uniqueId val="{00000001-36D7-4279-A11D-FA8C082CD372}"/>
              </c:ext>
            </c:extLst>
          </c:dPt>
          <c:dPt>
            <c:idx val="2"/>
            <c:bubble3D val="0"/>
            <c:spPr>
              <a:solidFill>
                <a:srgbClr val="FF0000"/>
              </a:solidFill>
            </c:spPr>
            <c:extLs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Portfolio'!$BC$39:$BC$41</c:f>
              <c:numCache>
                <c:formatCode>0.00%</c:formatCode>
                <c:ptCount val="3"/>
                <c:pt idx="0">
                  <c:v>1</c:v>
                </c:pt>
                <c:pt idx="1">
                  <c:v>0</c:v>
                </c:pt>
                <c:pt idx="2">
                  <c:v>0</c:v>
                </c:pt>
              </c:numCache>
            </c:numRef>
          </c:val>
          <c:extLs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Leader</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Portfolio'!$BB$54</c:f>
              <c:strCache>
                <c:ptCount val="1"/>
                <c:pt idx="0">
                  <c:v>Q3</c:v>
                </c:pt>
              </c:strCache>
            </c:strRef>
          </c:tx>
          <c:dPt>
            <c:idx val="0"/>
            <c:bubble3D val="0"/>
            <c:spPr>
              <a:solidFill>
                <a:srgbClr val="92D050"/>
              </a:solidFill>
            </c:spPr>
            <c:extLst>
              <c:ext xmlns:c16="http://schemas.microsoft.com/office/drawing/2014/chart" uri="{C3380CC4-5D6E-409C-BE32-E72D297353CC}">
                <c16:uniqueId val="{00000000-9898-4B87-939D-D47B1872EA7B}"/>
              </c:ext>
            </c:extLst>
          </c:dPt>
          <c:dPt>
            <c:idx val="1"/>
            <c:bubble3D val="0"/>
            <c:spPr>
              <a:solidFill>
                <a:srgbClr val="FFC000"/>
              </a:solidFill>
            </c:spPr>
            <c:extLst>
              <c:ext xmlns:c16="http://schemas.microsoft.com/office/drawing/2014/chart" uri="{C3380CC4-5D6E-409C-BE32-E72D297353CC}">
                <c16:uniqueId val="{00000001-9898-4B87-939D-D47B1872EA7B}"/>
              </c:ext>
            </c:extLst>
          </c:dPt>
          <c:dPt>
            <c:idx val="2"/>
            <c:bubble3D val="0"/>
            <c:spPr>
              <a:solidFill>
                <a:srgbClr val="FF0000"/>
              </a:solidFill>
            </c:spPr>
            <c:extLs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Portfolio'!$BB$55:$BB$57</c:f>
              <c:numCache>
                <c:formatCode>0.00%</c:formatCode>
                <c:ptCount val="3"/>
                <c:pt idx="0">
                  <c:v>1</c:v>
                </c:pt>
                <c:pt idx="1">
                  <c:v>0</c:v>
                </c:pt>
                <c:pt idx="2">
                  <c:v>0</c:v>
                </c:pt>
              </c:numCache>
            </c:numRef>
          </c:val>
          <c:extLs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BDF-4743-8367-D995DA49E225}"/>
              </c:ext>
            </c:extLst>
          </c:dPt>
          <c:dPt>
            <c:idx val="1"/>
            <c:bubble3D val="0"/>
            <c:spPr>
              <a:solidFill>
                <a:srgbClr val="FFC000"/>
              </a:solidFill>
            </c:spPr>
            <c:extLst>
              <c:ext xmlns:c16="http://schemas.microsoft.com/office/drawing/2014/chart" uri="{C3380CC4-5D6E-409C-BE32-E72D297353CC}">
                <c16:uniqueId val="{00000001-9BDF-4743-8367-D995DA49E225}"/>
              </c:ext>
            </c:extLst>
          </c:dPt>
          <c:dPt>
            <c:idx val="2"/>
            <c:bubble3D val="0"/>
            <c:spPr>
              <a:solidFill>
                <a:srgbClr val="FF0000"/>
              </a:solidFill>
            </c:spPr>
            <c:extLs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0.93258426966292141</c:v>
                </c:pt>
                <c:pt idx="1">
                  <c:v>6.741573033707865E-2</c:v>
                </c:pt>
                <c:pt idx="2">
                  <c:v>0</c:v>
                </c:pt>
              </c:numCache>
            </c:numRef>
          </c:val>
          <c:extLs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Leader</a:t>
            </a: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Portfolio'!$BC$54</c:f>
              <c:strCache>
                <c:ptCount val="1"/>
                <c:pt idx="0">
                  <c:v>Q4</c:v>
                </c:pt>
              </c:strCache>
            </c:strRef>
          </c:tx>
          <c:dPt>
            <c:idx val="0"/>
            <c:bubble3D val="0"/>
            <c:spPr>
              <a:solidFill>
                <a:srgbClr val="92D050"/>
              </a:solidFill>
            </c:spPr>
            <c:extLst>
              <c:ext xmlns:c16="http://schemas.microsoft.com/office/drawing/2014/chart" uri="{C3380CC4-5D6E-409C-BE32-E72D297353CC}">
                <c16:uniqueId val="{00000000-8108-493F-A60B-568B8104004D}"/>
              </c:ext>
            </c:extLst>
          </c:dPt>
          <c:dPt>
            <c:idx val="1"/>
            <c:bubble3D val="0"/>
            <c:spPr>
              <a:solidFill>
                <a:srgbClr val="FFC000"/>
              </a:solidFill>
            </c:spPr>
            <c:extLst>
              <c:ext xmlns:c16="http://schemas.microsoft.com/office/drawing/2014/chart" uri="{C3380CC4-5D6E-409C-BE32-E72D297353CC}">
                <c16:uniqueId val="{00000001-8108-493F-A60B-568B8104004D}"/>
              </c:ext>
            </c:extLst>
          </c:dPt>
          <c:dPt>
            <c:idx val="2"/>
            <c:bubble3D val="0"/>
            <c:spPr>
              <a:solidFill>
                <a:srgbClr val="FF0000"/>
              </a:solidFill>
            </c:spPr>
            <c:extLs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Portfolio'!$BC$55:$BC$57</c:f>
              <c:numCache>
                <c:formatCode>0.00%</c:formatCode>
                <c:ptCount val="3"/>
                <c:pt idx="0">
                  <c:v>1</c:v>
                </c:pt>
                <c:pt idx="1">
                  <c:v>0</c:v>
                </c:pt>
                <c:pt idx="2">
                  <c:v>0</c:v>
                </c:pt>
              </c:numCache>
            </c:numRef>
          </c:val>
          <c:extLs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Regeneration and Development</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Portfolio'!$AZ$71:$BC$71</c:f>
              <c:numCache>
                <c:formatCode>0.00%</c:formatCode>
                <c:ptCount val="4"/>
                <c:pt idx="0">
                  <c:v>0.88888888888888884</c:v>
                </c:pt>
                <c:pt idx="1">
                  <c:v>0.90909090909090906</c:v>
                </c:pt>
                <c:pt idx="2">
                  <c:v>0.86956521739130432</c:v>
                </c:pt>
                <c:pt idx="3">
                  <c:v>0.91666666666666674</c:v>
                </c:pt>
              </c:numCache>
            </c:numRef>
          </c:val>
          <c:smooth val="0"/>
          <c:extLst>
            <c:ext xmlns:c16="http://schemas.microsoft.com/office/drawing/2014/chart" uri="{C3380CC4-5D6E-409C-BE32-E72D297353CC}">
              <c16:uniqueId val="{00000002-016F-44FD-9A20-5F0AA50C5759}"/>
            </c:ext>
          </c:extLst>
        </c:ser>
        <c:ser>
          <c:idx val="1"/>
          <c:order val="1"/>
          <c:tx>
            <c:strRef>
              <c:f>'3b.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6F-44FD-9A20-5F0AA50C5759}"/>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Portfolio'!$AZ$72:$BC$72</c:f>
              <c:numCache>
                <c:formatCode>0.00%</c:formatCode>
                <c:ptCount val="4"/>
                <c:pt idx="0">
                  <c:v>0.1111111111111111</c:v>
                </c:pt>
                <c:pt idx="1">
                  <c:v>0</c:v>
                </c:pt>
                <c:pt idx="2">
                  <c:v>4.3478260869565216E-2</c:v>
                </c:pt>
                <c:pt idx="3">
                  <c:v>4.1666666666666664E-2</c:v>
                </c:pt>
              </c:numCache>
            </c:numRef>
          </c:val>
          <c:smooth val="0"/>
          <c:extLst>
            <c:ext xmlns:c16="http://schemas.microsoft.com/office/drawing/2014/chart" uri="{C3380CC4-5D6E-409C-BE32-E72D297353CC}">
              <c16:uniqueId val="{00000007-016F-44FD-9A20-5F0AA50C5759}"/>
            </c:ext>
          </c:extLst>
        </c:ser>
        <c:ser>
          <c:idx val="2"/>
          <c:order val="2"/>
          <c:tx>
            <c:strRef>
              <c:f>'3b.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Portfolio'!$AZ$73:$BC$73</c:f>
              <c:numCache>
                <c:formatCode>0.00%</c:formatCode>
                <c:ptCount val="4"/>
                <c:pt idx="0">
                  <c:v>0</c:v>
                </c:pt>
                <c:pt idx="1">
                  <c:v>9.0909090909090912E-2</c:v>
                </c:pt>
                <c:pt idx="2">
                  <c:v>8.6956521739130432E-2</c:v>
                </c:pt>
                <c:pt idx="3">
                  <c:v>4.1666666666666664E-2</c:v>
                </c:pt>
              </c:numCache>
            </c:numRef>
          </c:val>
          <c:smooth val="0"/>
          <c:extLs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358631976"/>
        <c:axId val="358633936"/>
      </c:lineChart>
      <c:catAx>
        <c:axId val="358631976"/>
        <c:scaling>
          <c:orientation val="minMax"/>
        </c:scaling>
        <c:delete val="0"/>
        <c:axPos val="b"/>
        <c:numFmt formatCode="General" sourceLinked="0"/>
        <c:majorTickMark val="out"/>
        <c:minorTickMark val="none"/>
        <c:tickLblPos val="nextTo"/>
        <c:txPr>
          <a:bodyPr/>
          <a:lstStyle/>
          <a:p>
            <a:pPr>
              <a:defRPr lang="en-US"/>
            </a:pPr>
            <a:endParaRPr lang="en-US"/>
          </a:p>
        </c:txPr>
        <c:crossAx val="358633936"/>
        <c:crosses val="autoZero"/>
        <c:auto val="1"/>
        <c:lblAlgn val="ctr"/>
        <c:lblOffset val="100"/>
        <c:noMultiLvlLbl val="0"/>
      </c:catAx>
      <c:valAx>
        <c:axId val="35863393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35863197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Regeneration and Development</a:t>
            </a:r>
            <a:endParaRPr lang="en-GB">
              <a:effectLst/>
            </a:endParaRP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Portfolio'!$AZ$70</c:f>
              <c:strCache>
                <c:ptCount val="1"/>
                <c:pt idx="0">
                  <c:v>Q1</c:v>
                </c:pt>
              </c:strCache>
            </c:strRef>
          </c:tx>
          <c:dPt>
            <c:idx val="0"/>
            <c:bubble3D val="0"/>
            <c:spPr>
              <a:solidFill>
                <a:srgbClr val="92D050"/>
              </a:solidFill>
            </c:spPr>
            <c:extLst>
              <c:ext xmlns:c16="http://schemas.microsoft.com/office/drawing/2014/chart" uri="{C3380CC4-5D6E-409C-BE32-E72D297353CC}">
                <c16:uniqueId val="{00000000-2CC4-4DCF-972D-828886DB5E2C}"/>
              </c:ext>
            </c:extLst>
          </c:dPt>
          <c:dPt>
            <c:idx val="1"/>
            <c:bubble3D val="0"/>
            <c:spPr>
              <a:solidFill>
                <a:srgbClr val="FFC000"/>
              </a:solidFill>
            </c:spPr>
            <c:extLst>
              <c:ext xmlns:c16="http://schemas.microsoft.com/office/drawing/2014/chart" uri="{C3380CC4-5D6E-409C-BE32-E72D297353CC}">
                <c16:uniqueId val="{00000001-2CC4-4DCF-972D-828886DB5E2C}"/>
              </c:ext>
            </c:extLst>
          </c:dPt>
          <c:dPt>
            <c:idx val="2"/>
            <c:bubble3D val="0"/>
            <c:spPr>
              <a:solidFill>
                <a:srgbClr val="FF0000"/>
              </a:solidFill>
            </c:spPr>
            <c:extLs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Portfolio'!$AZ$71:$AZ$73</c:f>
              <c:numCache>
                <c:formatCode>0.00%</c:formatCode>
                <c:ptCount val="3"/>
                <c:pt idx="0">
                  <c:v>0.88888888888888884</c:v>
                </c:pt>
                <c:pt idx="1">
                  <c:v>0.1111111111111111</c:v>
                </c:pt>
                <c:pt idx="2">
                  <c:v>0</c:v>
                </c:pt>
              </c:numCache>
            </c:numRef>
          </c:val>
          <c:extLs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Regeneration and Development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Portfolio'!$BA$70</c:f>
              <c:strCache>
                <c:ptCount val="1"/>
                <c:pt idx="0">
                  <c:v>Q2</c:v>
                </c:pt>
              </c:strCache>
            </c:strRef>
          </c:tx>
          <c:dPt>
            <c:idx val="0"/>
            <c:bubble3D val="0"/>
            <c:spPr>
              <a:solidFill>
                <a:srgbClr val="92D050"/>
              </a:solidFill>
            </c:spPr>
            <c:extLst>
              <c:ext xmlns:c16="http://schemas.microsoft.com/office/drawing/2014/chart" uri="{C3380CC4-5D6E-409C-BE32-E72D297353CC}">
                <c16:uniqueId val="{00000000-B009-44DB-8D6B-7B084F70A94C}"/>
              </c:ext>
            </c:extLst>
          </c:dPt>
          <c:dPt>
            <c:idx val="1"/>
            <c:bubble3D val="0"/>
            <c:spPr>
              <a:solidFill>
                <a:srgbClr val="FFC000"/>
              </a:solidFill>
            </c:spPr>
            <c:extLst>
              <c:ext xmlns:c16="http://schemas.microsoft.com/office/drawing/2014/chart" uri="{C3380CC4-5D6E-409C-BE32-E72D297353CC}">
                <c16:uniqueId val="{00000001-B009-44DB-8D6B-7B084F70A94C}"/>
              </c:ext>
            </c:extLst>
          </c:dPt>
          <c:dPt>
            <c:idx val="2"/>
            <c:bubble3D val="0"/>
            <c:spPr>
              <a:solidFill>
                <a:srgbClr val="FF0000"/>
              </a:solidFill>
            </c:spPr>
            <c:extLs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Portfolio'!$BA$71:$BA$73</c:f>
              <c:numCache>
                <c:formatCode>0.00%</c:formatCode>
                <c:ptCount val="3"/>
                <c:pt idx="0">
                  <c:v>0.90909090909090906</c:v>
                </c:pt>
                <c:pt idx="1">
                  <c:v>0</c:v>
                </c:pt>
                <c:pt idx="2">
                  <c:v>9.0909090909090912E-2</c:v>
                </c:pt>
              </c:numCache>
            </c:numRef>
          </c:val>
          <c:extLs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Regeneration and Development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Portfolio'!$BB$70</c:f>
              <c:strCache>
                <c:ptCount val="1"/>
                <c:pt idx="0">
                  <c:v>Q3</c:v>
                </c:pt>
              </c:strCache>
            </c:strRef>
          </c:tx>
          <c:dPt>
            <c:idx val="0"/>
            <c:bubble3D val="0"/>
            <c:spPr>
              <a:solidFill>
                <a:srgbClr val="92D050"/>
              </a:solidFill>
            </c:spPr>
            <c:extLst>
              <c:ext xmlns:c16="http://schemas.microsoft.com/office/drawing/2014/chart" uri="{C3380CC4-5D6E-409C-BE32-E72D297353CC}">
                <c16:uniqueId val="{00000000-8324-40E8-AEBE-C378BF949D0A}"/>
              </c:ext>
            </c:extLst>
          </c:dPt>
          <c:dPt>
            <c:idx val="1"/>
            <c:bubble3D val="0"/>
            <c:spPr>
              <a:solidFill>
                <a:srgbClr val="FFC000"/>
              </a:solidFill>
            </c:spPr>
            <c:extLst>
              <c:ext xmlns:c16="http://schemas.microsoft.com/office/drawing/2014/chart" uri="{C3380CC4-5D6E-409C-BE32-E72D297353CC}">
                <c16:uniqueId val="{00000001-8324-40E8-AEBE-C378BF949D0A}"/>
              </c:ext>
            </c:extLst>
          </c:dPt>
          <c:dPt>
            <c:idx val="2"/>
            <c:bubble3D val="0"/>
            <c:spPr>
              <a:solidFill>
                <a:srgbClr val="FF0000"/>
              </a:solidFill>
            </c:spPr>
            <c:extLs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Portfolio'!$BB$71:$BB$73</c:f>
              <c:numCache>
                <c:formatCode>0.00%</c:formatCode>
                <c:ptCount val="3"/>
                <c:pt idx="0">
                  <c:v>0.86956521739130432</c:v>
                </c:pt>
                <c:pt idx="1">
                  <c:v>4.3478260869565216E-2</c:v>
                </c:pt>
                <c:pt idx="2">
                  <c:v>8.6956521739130432E-2</c:v>
                </c:pt>
              </c:numCache>
            </c:numRef>
          </c:val>
          <c:extLs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Regeneration and Development</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Portfolio'!$BC$70</c:f>
              <c:strCache>
                <c:ptCount val="1"/>
                <c:pt idx="0">
                  <c:v>Q4</c:v>
                </c:pt>
              </c:strCache>
            </c:strRef>
          </c:tx>
          <c:dPt>
            <c:idx val="0"/>
            <c:bubble3D val="0"/>
            <c:spPr>
              <a:solidFill>
                <a:srgbClr val="92D050"/>
              </a:solidFill>
            </c:spPr>
            <c:extLst>
              <c:ext xmlns:c16="http://schemas.microsoft.com/office/drawing/2014/chart" uri="{C3380CC4-5D6E-409C-BE32-E72D297353CC}">
                <c16:uniqueId val="{00000000-ECD8-4549-A281-844D2CE821B1}"/>
              </c:ext>
            </c:extLst>
          </c:dPt>
          <c:dPt>
            <c:idx val="1"/>
            <c:bubble3D val="0"/>
            <c:spPr>
              <a:solidFill>
                <a:srgbClr val="FFC000"/>
              </a:solidFill>
            </c:spPr>
            <c:extLst>
              <c:ext xmlns:c16="http://schemas.microsoft.com/office/drawing/2014/chart" uri="{C3380CC4-5D6E-409C-BE32-E72D297353CC}">
                <c16:uniqueId val="{00000001-ECD8-4549-A281-844D2CE821B1}"/>
              </c:ext>
            </c:extLst>
          </c:dPt>
          <c:dPt>
            <c:idx val="2"/>
            <c:bubble3D val="0"/>
            <c:spPr>
              <a:solidFill>
                <a:srgbClr val="FF0000"/>
              </a:solidFill>
            </c:spPr>
            <c:extLs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Portfolio'!$BC$71:$BC$73</c:f>
              <c:numCache>
                <c:formatCode>0.00%</c:formatCode>
                <c:ptCount val="3"/>
                <c:pt idx="0">
                  <c:v>0.91666666666666674</c:v>
                </c:pt>
                <c:pt idx="1">
                  <c:v>4.1666666666666664E-2</c:v>
                </c:pt>
                <c:pt idx="2">
                  <c:v>4.1666666666666664E-2</c:v>
                </c:pt>
              </c:numCache>
            </c:numRef>
          </c:val>
          <c:extLs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Tourism and Cultural Development</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Portfolio'!$AY$87</c:f>
              <c:strCache>
                <c:ptCount val="1"/>
                <c:pt idx="0">
                  <c:v>Green</c:v>
                </c:pt>
              </c:strCache>
            </c:strRef>
          </c:tx>
          <c:marker>
            <c:symbol val="none"/>
          </c:marker>
          <c:dLbls>
            <c:spPr>
              <a:noFill/>
              <a:ln>
                <a:noFill/>
              </a:ln>
              <a:effectLst/>
            </c:spPr>
            <c:txPr>
              <a:bodyPr/>
              <a:lstStyle/>
              <a:p>
                <a:pPr>
                  <a:defRPr lang="en-U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Portfolio'!$AZ$86:$BC$86</c:f>
              <c:strCache>
                <c:ptCount val="4"/>
                <c:pt idx="0">
                  <c:v>Q1</c:v>
                </c:pt>
                <c:pt idx="1">
                  <c:v>Q2</c:v>
                </c:pt>
                <c:pt idx="2">
                  <c:v>Q3</c:v>
                </c:pt>
                <c:pt idx="3">
                  <c:v>Q4</c:v>
                </c:pt>
              </c:strCache>
            </c:strRef>
          </c:cat>
          <c:val>
            <c:numRef>
              <c:f>'3b. Charts by Portfolio'!$AZ$87:$BC$87</c:f>
              <c:numCache>
                <c:formatCode>0.00%</c:formatCode>
                <c:ptCount val="4"/>
                <c:pt idx="0">
                  <c:v>1</c:v>
                </c:pt>
                <c:pt idx="1">
                  <c:v>0.95</c:v>
                </c:pt>
                <c:pt idx="2">
                  <c:v>0.95</c:v>
                </c:pt>
                <c:pt idx="3">
                  <c:v>0.95238095238095233</c:v>
                </c:pt>
              </c:numCache>
            </c:numRef>
          </c:val>
          <c:smooth val="0"/>
          <c:extLst>
            <c:ext xmlns:c16="http://schemas.microsoft.com/office/drawing/2014/chart" uri="{C3380CC4-5D6E-409C-BE32-E72D297353CC}">
              <c16:uniqueId val="{00000002-8247-40C9-A0BA-4E3E90F6C197}"/>
            </c:ext>
          </c:extLst>
        </c:ser>
        <c:ser>
          <c:idx val="1"/>
          <c:order val="1"/>
          <c:tx>
            <c:strRef>
              <c:f>'3b. Charts by Portfolio'!$AY$88</c:f>
              <c:strCache>
                <c:ptCount val="1"/>
                <c:pt idx="0">
                  <c:v>Amber</c:v>
                </c:pt>
              </c:strCache>
            </c:strRef>
          </c:tx>
          <c:marker>
            <c:symbol val="none"/>
          </c:marker>
          <c:dLbls>
            <c:spPr>
              <a:noFill/>
              <a:ln>
                <a:noFill/>
              </a:ln>
              <a:effectLst/>
            </c:spPr>
            <c:txPr>
              <a:bodyPr/>
              <a:lstStyle/>
              <a:p>
                <a:pPr>
                  <a:defRPr lang="en-U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Portfolio'!$AZ$86:$BC$86</c:f>
              <c:strCache>
                <c:ptCount val="4"/>
                <c:pt idx="0">
                  <c:v>Q1</c:v>
                </c:pt>
                <c:pt idx="1">
                  <c:v>Q2</c:v>
                </c:pt>
                <c:pt idx="2">
                  <c:v>Q3</c:v>
                </c:pt>
                <c:pt idx="3">
                  <c:v>Q4</c:v>
                </c:pt>
              </c:strCache>
            </c:strRef>
          </c:cat>
          <c:val>
            <c:numRef>
              <c:f>'3b. Charts by Portfolio'!$AZ$88:$BC$88</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7-8247-40C9-A0BA-4E3E90F6C197}"/>
            </c:ext>
          </c:extLst>
        </c:ser>
        <c:ser>
          <c:idx val="2"/>
          <c:order val="2"/>
          <c:tx>
            <c:strRef>
              <c:f>'3b. Charts by Portfolio'!$AY$89</c:f>
              <c:strCache>
                <c:ptCount val="1"/>
                <c:pt idx="0">
                  <c:v>Red</c:v>
                </c:pt>
              </c:strCache>
            </c:strRef>
          </c:tx>
          <c:marker>
            <c:symbol val="none"/>
          </c:marker>
          <c:dLbls>
            <c:spPr>
              <a:noFill/>
              <a:ln>
                <a:noFill/>
              </a:ln>
              <a:effectLst/>
            </c:spPr>
            <c:txPr>
              <a:bodyPr/>
              <a:lstStyle/>
              <a:p>
                <a:pPr>
                  <a:defRPr lang="en-U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Portfolio'!$AZ$86:$BC$86</c:f>
              <c:strCache>
                <c:ptCount val="4"/>
                <c:pt idx="0">
                  <c:v>Q1</c:v>
                </c:pt>
                <c:pt idx="1">
                  <c:v>Q2</c:v>
                </c:pt>
                <c:pt idx="2">
                  <c:v>Q3</c:v>
                </c:pt>
                <c:pt idx="3">
                  <c:v>Q4</c:v>
                </c:pt>
              </c:strCache>
            </c:strRef>
          </c:cat>
          <c:val>
            <c:numRef>
              <c:f>'3b. Charts by Portfolio'!$AZ$89:$BC$89</c:f>
              <c:numCache>
                <c:formatCode>0.00%</c:formatCode>
                <c:ptCount val="4"/>
                <c:pt idx="0">
                  <c:v>0</c:v>
                </c:pt>
                <c:pt idx="1">
                  <c:v>0.05</c:v>
                </c:pt>
                <c:pt idx="2">
                  <c:v>0.05</c:v>
                </c:pt>
                <c:pt idx="3">
                  <c:v>4.7619047619047616E-2</c:v>
                </c:pt>
              </c:numCache>
            </c:numRef>
          </c:val>
          <c:smooth val="0"/>
          <c:extLst>
            <c:ext xmlns:c16="http://schemas.microsoft.com/office/drawing/2014/chart" uri="{C3380CC4-5D6E-409C-BE32-E72D297353CC}">
              <c16:uniqueId val="{0000000B-8247-40C9-A0BA-4E3E90F6C197}"/>
            </c:ext>
          </c:extLst>
        </c:ser>
        <c:dLbls>
          <c:showLegendKey val="0"/>
          <c:showVal val="1"/>
          <c:showCatName val="0"/>
          <c:showSerName val="0"/>
          <c:showPercent val="0"/>
          <c:showBubbleSize val="0"/>
        </c:dLbls>
        <c:smooth val="0"/>
        <c:axId val="358631976"/>
        <c:axId val="358633936"/>
      </c:lineChart>
      <c:catAx>
        <c:axId val="358631976"/>
        <c:scaling>
          <c:orientation val="minMax"/>
        </c:scaling>
        <c:delete val="0"/>
        <c:axPos val="b"/>
        <c:numFmt formatCode="General" sourceLinked="0"/>
        <c:majorTickMark val="out"/>
        <c:minorTickMark val="none"/>
        <c:tickLblPos val="nextTo"/>
        <c:txPr>
          <a:bodyPr/>
          <a:lstStyle/>
          <a:p>
            <a:pPr>
              <a:defRPr lang="en-US"/>
            </a:pPr>
            <a:endParaRPr lang="en-US"/>
          </a:p>
        </c:txPr>
        <c:crossAx val="358633936"/>
        <c:crosses val="autoZero"/>
        <c:auto val="1"/>
        <c:lblAlgn val="ctr"/>
        <c:lblOffset val="100"/>
        <c:noMultiLvlLbl val="0"/>
      </c:catAx>
      <c:valAx>
        <c:axId val="35863393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35863197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Tourism and Cultural Development</a:t>
            </a:r>
            <a:endParaRPr lang="en-GB">
              <a:effectLst/>
            </a:endParaRP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Portfolio'!$AZ$86</c:f>
              <c:strCache>
                <c:ptCount val="1"/>
                <c:pt idx="0">
                  <c:v>Q1</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Portfolio'!$AY$87:$AY$89</c:f>
              <c:strCache>
                <c:ptCount val="3"/>
                <c:pt idx="0">
                  <c:v>Green</c:v>
                </c:pt>
                <c:pt idx="1">
                  <c:v>Amber</c:v>
                </c:pt>
                <c:pt idx="2">
                  <c:v>Red</c:v>
                </c:pt>
              </c:strCache>
            </c:strRef>
          </c:cat>
          <c:val>
            <c:numRef>
              <c:f>'3b. Charts by Portfolio'!$AZ$87:$AZ$89</c:f>
              <c:numCache>
                <c:formatCode>0.00%</c:formatCode>
                <c:ptCount val="3"/>
                <c:pt idx="0">
                  <c:v>1</c:v>
                </c:pt>
                <c:pt idx="1">
                  <c:v>0</c:v>
                </c:pt>
                <c:pt idx="2">
                  <c:v>0</c:v>
                </c:pt>
              </c:numCache>
            </c:numRef>
          </c:val>
          <c:extLst>
            <c:ext xmlns:c16="http://schemas.microsoft.com/office/drawing/2014/chart" uri="{C3380CC4-5D6E-409C-BE32-E72D297353CC}">
              <c16:uniqueId val="{00000006-604B-49FA-AE84-9D9B6FBC40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Tourism and Cultural Development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Portfolio'!$BA$86</c:f>
              <c:strCache>
                <c:ptCount val="1"/>
                <c:pt idx="0">
                  <c:v>Q2</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Portfolio'!$AY$87:$AY$89</c:f>
              <c:strCache>
                <c:ptCount val="3"/>
                <c:pt idx="0">
                  <c:v>Green</c:v>
                </c:pt>
                <c:pt idx="1">
                  <c:v>Amber</c:v>
                </c:pt>
                <c:pt idx="2">
                  <c:v>Red</c:v>
                </c:pt>
              </c:strCache>
            </c:strRef>
          </c:cat>
          <c:val>
            <c:numRef>
              <c:f>'3b. Charts by Portfolio'!$BA$87:$BA$89</c:f>
              <c:numCache>
                <c:formatCode>0.00%</c:formatCode>
                <c:ptCount val="3"/>
                <c:pt idx="0">
                  <c:v>0.95</c:v>
                </c:pt>
                <c:pt idx="1">
                  <c:v>0</c:v>
                </c:pt>
                <c:pt idx="2">
                  <c:v>0.05</c:v>
                </c:pt>
              </c:numCache>
            </c:numRef>
          </c:val>
          <c:extLst>
            <c:ext xmlns:c16="http://schemas.microsoft.com/office/drawing/2014/chart" uri="{C3380CC4-5D6E-409C-BE32-E72D297353CC}">
              <c16:uniqueId val="{00000006-0894-4CAA-91CB-5A922F916EA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Tourism and Cultural Development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Portfolio'!$BB$86</c:f>
              <c:strCache>
                <c:ptCount val="1"/>
                <c:pt idx="0">
                  <c:v>Q3</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Portfolio'!$AY$87:$AY$89</c:f>
              <c:strCache>
                <c:ptCount val="3"/>
                <c:pt idx="0">
                  <c:v>Green</c:v>
                </c:pt>
                <c:pt idx="1">
                  <c:v>Amber</c:v>
                </c:pt>
                <c:pt idx="2">
                  <c:v>Red</c:v>
                </c:pt>
              </c:strCache>
            </c:strRef>
          </c:cat>
          <c:val>
            <c:numRef>
              <c:f>'3b. Charts by Portfolio'!$BB$87:$BB$89</c:f>
              <c:numCache>
                <c:formatCode>0.00%</c:formatCode>
                <c:ptCount val="3"/>
                <c:pt idx="0">
                  <c:v>0.95</c:v>
                </c:pt>
                <c:pt idx="1">
                  <c:v>0</c:v>
                </c:pt>
                <c:pt idx="2">
                  <c:v>0.05</c:v>
                </c:pt>
              </c:numCache>
            </c:numRef>
          </c:val>
          <c:extLst>
            <c:ext xmlns:c16="http://schemas.microsoft.com/office/drawing/2014/chart" uri="{C3380CC4-5D6E-409C-BE32-E72D297353CC}">
              <c16:uniqueId val="{00000006-01FE-4390-9DD7-EEC751DF31A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Improving Local Democracy-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6B7-4A38-A51C-3A27625D9AE4}"/>
              </c:ext>
            </c:extLst>
          </c:dPt>
          <c:dPt>
            <c:idx val="1"/>
            <c:bubble3D val="0"/>
            <c:spPr>
              <a:solidFill>
                <a:srgbClr val="FFC000"/>
              </a:solidFill>
            </c:spPr>
            <c:extLst>
              <c:ext xmlns:c16="http://schemas.microsoft.com/office/drawing/2014/chart" uri="{C3380CC4-5D6E-409C-BE32-E72D297353CC}">
                <c16:uniqueId val="{00000001-96B7-4A38-A51C-3A27625D9AE4}"/>
              </c:ext>
            </c:extLst>
          </c:dPt>
          <c:dPt>
            <c:idx val="2"/>
            <c:bubble3D val="0"/>
            <c:spPr>
              <a:solidFill>
                <a:srgbClr val="FF0000"/>
              </a:solidFill>
            </c:spPr>
            <c:extLs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1</c:v>
                </c:pt>
                <c:pt idx="1">
                  <c:v>0</c:v>
                </c:pt>
                <c:pt idx="2">
                  <c:v>0</c:v>
                </c:pt>
              </c:numCache>
            </c:numRef>
          </c:val>
          <c:extLs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Tourism and Cultural Development</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Portfolio'!$BC$86</c:f>
              <c:strCache>
                <c:ptCount val="1"/>
                <c:pt idx="0">
                  <c:v>Q4</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Portfolio'!$AY$87:$AY$89</c:f>
              <c:strCache>
                <c:ptCount val="3"/>
                <c:pt idx="0">
                  <c:v>Green</c:v>
                </c:pt>
                <c:pt idx="1">
                  <c:v>Amber</c:v>
                </c:pt>
                <c:pt idx="2">
                  <c:v>Red</c:v>
                </c:pt>
              </c:strCache>
            </c:strRef>
          </c:cat>
          <c:val>
            <c:numRef>
              <c:f>'3b. Charts by Portfolio'!$BC$87:$BC$89</c:f>
              <c:numCache>
                <c:formatCode>0.00%</c:formatCode>
                <c:ptCount val="3"/>
                <c:pt idx="0">
                  <c:v>0.95238095238095233</c:v>
                </c:pt>
                <c:pt idx="1">
                  <c:v>0</c:v>
                </c:pt>
                <c:pt idx="2">
                  <c:v>4.7619047619047616E-2</c:v>
                </c:pt>
              </c:numCache>
            </c:numRef>
          </c:val>
          <c:extLst>
            <c:ext xmlns:c16="http://schemas.microsoft.com/office/drawing/2014/chart" uri="{C3380CC4-5D6E-409C-BE32-E72D297353CC}">
              <c16:uniqueId val="{00000006-10A0-4B04-BEF0-D1A127628F3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Creating</a:t>
            </a:r>
            <a:r>
              <a:rPr lang="en-US" baseline="0"/>
              <a:t> a prosperous East Staffordshire </a:t>
            </a:r>
            <a:r>
              <a:rPr lang="en-US"/>
              <a:t>-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333-4466-970B-BC246C30874E}"/>
              </c:ext>
            </c:extLst>
          </c:dPt>
          <c:dPt>
            <c:idx val="1"/>
            <c:bubble3D val="0"/>
            <c:spPr>
              <a:solidFill>
                <a:srgbClr val="FFC000"/>
              </a:solidFill>
            </c:spPr>
            <c:extLst>
              <c:ext xmlns:c16="http://schemas.microsoft.com/office/drawing/2014/chart" uri="{C3380CC4-5D6E-409C-BE32-E72D297353CC}">
                <c16:uniqueId val="{00000001-8333-4466-970B-BC246C30874E}"/>
              </c:ext>
            </c:extLst>
          </c:dPt>
          <c:dPt>
            <c:idx val="2"/>
            <c:bubble3D val="0"/>
            <c:spPr>
              <a:solidFill>
                <a:srgbClr val="FF0000"/>
              </a:solidFill>
            </c:spPr>
            <c:extLst>
              <c:ext xmlns:c16="http://schemas.microsoft.com/office/drawing/2014/chart" uri="{C3380CC4-5D6E-409C-BE32-E72D297353CC}">
                <c16:uniqueId val="{00000002-8333-4466-970B-BC246C30874E}"/>
              </c:ext>
            </c:extLst>
          </c:dPt>
          <c:cat>
            <c:strRef>
              <c:f>'2b. Charts by Priority'!$AY$39:$AY$41</c:f>
              <c:strCache>
                <c:ptCount val="3"/>
                <c:pt idx="0">
                  <c:v>Green</c:v>
                </c:pt>
                <c:pt idx="1">
                  <c:v>Amber</c:v>
                </c:pt>
                <c:pt idx="2">
                  <c:v>Red</c:v>
                </c:pt>
              </c:strCache>
            </c:strRef>
          </c:cat>
          <c:val>
            <c:numRef>
              <c:f>'2b. Charts by Priority'!$AZ$39:$AZ$41</c:f>
              <c:numCache>
                <c:formatCode>0.00%</c:formatCode>
                <c:ptCount val="3"/>
                <c:pt idx="0">
                  <c:v>1</c:v>
                </c:pt>
                <c:pt idx="1">
                  <c:v>0</c:v>
                </c:pt>
                <c:pt idx="2">
                  <c:v>0</c:v>
                </c:pt>
              </c:numCache>
            </c:numRef>
          </c:val>
          <c:extLs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Developing a Green New Deal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F00D-4878-9064-9C519C9A2924}"/>
              </c:ext>
            </c:extLst>
          </c:dPt>
          <c:dPt>
            <c:idx val="1"/>
            <c:bubble3D val="0"/>
            <c:spPr>
              <a:solidFill>
                <a:srgbClr val="FFC000"/>
              </a:solidFill>
            </c:spPr>
            <c:extLst>
              <c:ext xmlns:c16="http://schemas.microsoft.com/office/drawing/2014/chart" uri="{C3380CC4-5D6E-409C-BE32-E72D297353CC}">
                <c16:uniqueId val="{00000001-F00D-4878-9064-9C519C9A2924}"/>
              </c:ext>
            </c:extLst>
          </c:dPt>
          <c:dPt>
            <c:idx val="2"/>
            <c:bubble3D val="0"/>
            <c:spPr>
              <a:solidFill>
                <a:srgbClr val="FF0000"/>
              </a:solidFill>
            </c:spPr>
            <c:extLst>
              <c:ext xmlns:c16="http://schemas.microsoft.com/office/drawing/2014/chart" uri="{C3380CC4-5D6E-409C-BE32-E72D297353CC}">
                <c16:uniqueId val="{00000002-F00D-4878-9064-9C519C9A2924}"/>
              </c:ext>
            </c:extLst>
          </c:dPt>
          <c:cat>
            <c:strRef>
              <c:f>'2b. Charts by Priority'!$AY$55:$AY$57</c:f>
              <c:strCache>
                <c:ptCount val="3"/>
                <c:pt idx="0">
                  <c:v>Green</c:v>
                </c:pt>
                <c:pt idx="1">
                  <c:v>Amber</c:v>
                </c:pt>
                <c:pt idx="2">
                  <c:v>Red</c:v>
                </c:pt>
              </c:strCache>
            </c:strRef>
          </c:cat>
          <c:val>
            <c:numRef>
              <c:f>'2b. Charts by Priority'!$AZ$55:$AZ$57</c:f>
              <c:numCache>
                <c:formatCode>0.00%</c:formatCode>
                <c:ptCount val="3"/>
                <c:pt idx="0">
                  <c:v>0.8571428571428571</c:v>
                </c:pt>
                <c:pt idx="1">
                  <c:v>0.14285714285714285</c:v>
                </c:pt>
                <c:pt idx="2">
                  <c:v>0</c:v>
                </c:pt>
              </c:numCache>
            </c:numRef>
          </c:val>
          <c:extLs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5191-4694-B510-D0DD546A4D52}"/>
              </c:ext>
            </c:extLst>
          </c:dPt>
          <c:dPt>
            <c:idx val="1"/>
            <c:bubble3D val="0"/>
            <c:spPr>
              <a:solidFill>
                <a:srgbClr val="FFC000"/>
              </a:solidFill>
            </c:spPr>
            <c:extLst>
              <c:ext xmlns:c16="http://schemas.microsoft.com/office/drawing/2014/chart" uri="{C3380CC4-5D6E-409C-BE32-E72D297353CC}">
                <c16:uniqueId val="{00000001-5191-4694-B510-D0DD546A4D52}"/>
              </c:ext>
            </c:extLst>
          </c:dPt>
          <c:dPt>
            <c:idx val="2"/>
            <c:bubble3D val="0"/>
            <c:spPr>
              <a:solidFill>
                <a:srgbClr val="FF0000"/>
              </a:solidFill>
            </c:spPr>
            <c:extLs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0.94214876033057848</c:v>
                </c:pt>
                <c:pt idx="1">
                  <c:v>1.6528925619834711E-2</c:v>
                </c:pt>
                <c:pt idx="2">
                  <c:v>4.1322314049586778E-2</c:v>
                </c:pt>
              </c:numCache>
            </c:numRef>
          </c:val>
          <c:extLs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_rels/drawing3.xml.rels><?xml version="1.0" encoding="UTF-8" standalone="yes"?>
<Relationships xmlns="http://schemas.openxmlformats.org/package/2006/relationships"><Relationship Id="rId8" Type="http://schemas.openxmlformats.org/officeDocument/2006/relationships/chart" Target="../charts/chart38.xml"/><Relationship Id="rId13" Type="http://schemas.openxmlformats.org/officeDocument/2006/relationships/chart" Target="../charts/chart43.xml"/><Relationship Id="rId18" Type="http://schemas.openxmlformats.org/officeDocument/2006/relationships/chart" Target="../charts/chart48.xml"/><Relationship Id="rId26" Type="http://schemas.openxmlformats.org/officeDocument/2006/relationships/chart" Target="../charts/chart56.xml"/><Relationship Id="rId3" Type="http://schemas.openxmlformats.org/officeDocument/2006/relationships/chart" Target="../charts/chart33.xml"/><Relationship Id="rId21" Type="http://schemas.openxmlformats.org/officeDocument/2006/relationships/chart" Target="../charts/chart51.xml"/><Relationship Id="rId7" Type="http://schemas.openxmlformats.org/officeDocument/2006/relationships/chart" Target="../charts/chart37.xml"/><Relationship Id="rId12" Type="http://schemas.openxmlformats.org/officeDocument/2006/relationships/chart" Target="../charts/chart42.xml"/><Relationship Id="rId17" Type="http://schemas.openxmlformats.org/officeDocument/2006/relationships/chart" Target="../charts/chart47.xml"/><Relationship Id="rId25" Type="http://schemas.openxmlformats.org/officeDocument/2006/relationships/chart" Target="../charts/chart55.xml"/><Relationship Id="rId2" Type="http://schemas.openxmlformats.org/officeDocument/2006/relationships/chart" Target="../charts/chart32.xml"/><Relationship Id="rId16" Type="http://schemas.openxmlformats.org/officeDocument/2006/relationships/chart" Target="../charts/chart46.xml"/><Relationship Id="rId20" Type="http://schemas.openxmlformats.org/officeDocument/2006/relationships/chart" Target="../charts/chart50.xml"/><Relationship Id="rId29" Type="http://schemas.openxmlformats.org/officeDocument/2006/relationships/chart" Target="../charts/chart59.xml"/><Relationship Id="rId1" Type="http://schemas.openxmlformats.org/officeDocument/2006/relationships/chart" Target="../charts/chart31.xml"/><Relationship Id="rId6" Type="http://schemas.openxmlformats.org/officeDocument/2006/relationships/chart" Target="../charts/chart36.xml"/><Relationship Id="rId11" Type="http://schemas.openxmlformats.org/officeDocument/2006/relationships/chart" Target="../charts/chart41.xml"/><Relationship Id="rId24" Type="http://schemas.openxmlformats.org/officeDocument/2006/relationships/chart" Target="../charts/chart54.xml"/><Relationship Id="rId5" Type="http://schemas.openxmlformats.org/officeDocument/2006/relationships/chart" Target="../charts/chart35.xml"/><Relationship Id="rId15" Type="http://schemas.openxmlformats.org/officeDocument/2006/relationships/chart" Target="../charts/chart45.xml"/><Relationship Id="rId23" Type="http://schemas.openxmlformats.org/officeDocument/2006/relationships/chart" Target="../charts/chart53.xml"/><Relationship Id="rId28" Type="http://schemas.openxmlformats.org/officeDocument/2006/relationships/chart" Target="../charts/chart58.xml"/><Relationship Id="rId10" Type="http://schemas.openxmlformats.org/officeDocument/2006/relationships/chart" Target="../charts/chart40.xml"/><Relationship Id="rId19" Type="http://schemas.openxmlformats.org/officeDocument/2006/relationships/chart" Target="../charts/chart49.xml"/><Relationship Id="rId4" Type="http://schemas.openxmlformats.org/officeDocument/2006/relationships/chart" Target="../charts/chart34.xml"/><Relationship Id="rId9" Type="http://schemas.openxmlformats.org/officeDocument/2006/relationships/chart" Target="../charts/chart39.xml"/><Relationship Id="rId14" Type="http://schemas.openxmlformats.org/officeDocument/2006/relationships/chart" Target="../charts/chart44.xml"/><Relationship Id="rId22" Type="http://schemas.openxmlformats.org/officeDocument/2006/relationships/chart" Target="../charts/chart52.xml"/><Relationship Id="rId27" Type="http://schemas.openxmlformats.org/officeDocument/2006/relationships/chart" Target="../charts/chart57.xml"/><Relationship Id="rId30" Type="http://schemas.openxmlformats.org/officeDocument/2006/relationships/chart" Target="../charts/chart60.xml"/></Relationships>
</file>

<file path=xl/drawings/drawing1.xml><?xml version="1.0" encoding="utf-8"?>
<xdr:wsDr xmlns:xdr="http://schemas.openxmlformats.org/drawingml/2006/spreadsheetDrawing" xmlns:a="http://schemas.openxmlformats.org/drawingml/2006/main">
  <xdr:twoCellAnchor editAs="oneCell">
    <xdr:from>
      <xdr:col>0</xdr:col>
      <xdr:colOff>293915</xdr:colOff>
      <xdr:row>0</xdr:row>
      <xdr:rowOff>0</xdr:rowOff>
    </xdr:from>
    <xdr:to>
      <xdr:col>0</xdr:col>
      <xdr:colOff>1001486</xdr:colOff>
      <xdr:row>0</xdr:row>
      <xdr:rowOff>396853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3915" y="0"/>
          <a:ext cx="707571" cy="398214"/>
        </a:xfrm>
        <a:prstGeom prst="rect">
          <a:avLst/>
        </a:prstGeom>
      </xdr:spPr>
    </xdr:pic>
    <xdr:clientData/>
  </xdr:twoCellAnchor>
  <xdr:twoCellAnchor editAs="oneCell">
    <xdr:from>
      <xdr:col>36</xdr:col>
      <xdr:colOff>693965</xdr:colOff>
      <xdr:row>115</xdr:row>
      <xdr:rowOff>449036</xdr:rowOff>
    </xdr:from>
    <xdr:to>
      <xdr:col>36</xdr:col>
      <xdr:colOff>2942180</xdr:colOff>
      <xdr:row>115</xdr:row>
      <xdr:rowOff>1030142</xdr:rowOff>
    </xdr:to>
    <xdr:pic>
      <xdr:nvPicPr>
        <xdr:cNvPr id="3" name="Picture 2"/>
        <xdr:cNvPicPr>
          <a:picLocks noChangeAspect="1"/>
        </xdr:cNvPicPr>
      </xdr:nvPicPr>
      <xdr:blipFill>
        <a:blip xmlns:r="http://schemas.openxmlformats.org/officeDocument/2006/relationships" r:embed="rId2"/>
        <a:stretch>
          <a:fillRect/>
        </a:stretch>
      </xdr:blipFill>
      <xdr:spPr>
        <a:xfrm>
          <a:off x="42114108" y="10817679"/>
          <a:ext cx="2248215" cy="581106"/>
        </a:xfrm>
        <a:prstGeom prst="rect">
          <a:avLst/>
        </a:prstGeom>
      </xdr:spPr>
    </xdr:pic>
    <xdr:clientData/>
  </xdr:twoCellAnchor>
  <xdr:twoCellAnchor editAs="oneCell">
    <xdr:from>
      <xdr:col>36</xdr:col>
      <xdr:colOff>816428</xdr:colOff>
      <xdr:row>114</xdr:row>
      <xdr:rowOff>625931</xdr:rowOff>
    </xdr:from>
    <xdr:to>
      <xdr:col>36</xdr:col>
      <xdr:colOff>2769326</xdr:colOff>
      <xdr:row>114</xdr:row>
      <xdr:rowOff>1178458</xdr:rowOff>
    </xdr:to>
    <xdr:pic>
      <xdr:nvPicPr>
        <xdr:cNvPr id="4" name="Picture 3"/>
        <xdr:cNvPicPr>
          <a:picLocks noChangeAspect="1"/>
        </xdr:cNvPicPr>
      </xdr:nvPicPr>
      <xdr:blipFill>
        <a:blip xmlns:r="http://schemas.openxmlformats.org/officeDocument/2006/relationships" r:embed="rId3"/>
        <a:stretch>
          <a:fillRect/>
        </a:stretch>
      </xdr:blipFill>
      <xdr:spPr>
        <a:xfrm>
          <a:off x="42236571" y="8858252"/>
          <a:ext cx="1952898" cy="5525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173355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84</xdr:row>
      <xdr:rowOff>0</xdr:rowOff>
    </xdr:from>
    <xdr:to>
      <xdr:col>8</xdr:col>
      <xdr:colOff>600074</xdr:colOff>
      <xdr:row>98</xdr:row>
      <xdr:rowOff>180975</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10</xdr:col>
      <xdr:colOff>0</xdr:colOff>
      <xdr:row>84</xdr:row>
      <xdr:rowOff>0</xdr:rowOff>
    </xdr:from>
    <xdr:to>
      <xdr:col>18</xdr:col>
      <xdr:colOff>0</xdr:colOff>
      <xdr:row>98</xdr:row>
      <xdr:rowOff>173355</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19</xdr:col>
      <xdr:colOff>0</xdr:colOff>
      <xdr:row>84</xdr:row>
      <xdr:rowOff>0</xdr:rowOff>
    </xdr:from>
    <xdr:to>
      <xdr:col>27</xdr:col>
      <xdr:colOff>0</xdr:colOff>
      <xdr:row>98</xdr:row>
      <xdr:rowOff>180975</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28</xdr:col>
      <xdr:colOff>0</xdr:colOff>
      <xdr:row>84</xdr:row>
      <xdr:rowOff>0</xdr:rowOff>
    </xdr:from>
    <xdr:to>
      <xdr:col>36</xdr:col>
      <xdr:colOff>0</xdr:colOff>
      <xdr:row>98</xdr:row>
      <xdr:rowOff>180975</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37</xdr:col>
      <xdr:colOff>0</xdr:colOff>
      <xdr:row>84</xdr:row>
      <xdr:rowOff>0</xdr:rowOff>
    </xdr:from>
    <xdr:to>
      <xdr:col>45</xdr:col>
      <xdr:colOff>0</xdr:colOff>
      <xdr:row>98</xdr:row>
      <xdr:rowOff>180975</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220980</xdr:colOff>
      <xdr:row>84</xdr:row>
      <xdr:rowOff>53340</xdr:rowOff>
    </xdr:from>
    <xdr:to>
      <xdr:col>8</xdr:col>
      <xdr:colOff>584834</xdr:colOff>
      <xdr:row>99</xdr:row>
      <xdr:rowOff>51435</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10</xdr:col>
      <xdr:colOff>0</xdr:colOff>
      <xdr:row>84</xdr:row>
      <xdr:rowOff>0</xdr:rowOff>
    </xdr:from>
    <xdr:to>
      <xdr:col>18</xdr:col>
      <xdr:colOff>0</xdr:colOff>
      <xdr:row>98</xdr:row>
      <xdr:rowOff>180975</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19</xdr:col>
      <xdr:colOff>0</xdr:colOff>
      <xdr:row>84</xdr:row>
      <xdr:rowOff>0</xdr:rowOff>
    </xdr:from>
    <xdr:to>
      <xdr:col>27</xdr:col>
      <xdr:colOff>0</xdr:colOff>
      <xdr:row>98</xdr:row>
      <xdr:rowOff>180975</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28</xdr:col>
      <xdr:colOff>0</xdr:colOff>
      <xdr:row>84</xdr:row>
      <xdr:rowOff>0</xdr:rowOff>
    </xdr:from>
    <xdr:to>
      <xdr:col>36</xdr:col>
      <xdr:colOff>0</xdr:colOff>
      <xdr:row>98</xdr:row>
      <xdr:rowOff>180975</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37</xdr:col>
      <xdr:colOff>0</xdr:colOff>
      <xdr:row>84</xdr:row>
      <xdr:rowOff>0</xdr:rowOff>
    </xdr:from>
    <xdr:to>
      <xdr:col>45</xdr:col>
      <xdr:colOff>0</xdr:colOff>
      <xdr:row>98</xdr:row>
      <xdr:rowOff>180975</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4293.623610416667" createdVersion="5" refreshedVersion="5" minRefreshableVersion="3" recordCount="109">
  <cacheSource type="worksheet">
    <worksheetSource ref="B2:AB126" sheet="1. All Data"/>
  </cacheSource>
  <cacheFields count="29">
    <cacheField name="Reporting Officer" numFmtId="0">
      <sharedItems count="18">
        <s v="James Abbott"/>
        <s v="Nicola Gilligan"/>
        <s v="Linda McDonald"/>
        <s v="Angela Wakefield"/>
        <s v="Michael Hovers"/>
        <s v="Naomi Perry"/>
        <s v="Thomas Deery"/>
        <s v="Brett Atkinson"/>
        <s v="Paul Farrer"/>
        <s v="Rachel Liddle"/>
        <s v="Carol Flannery"/>
        <s v="Lisa Turner"/>
        <s v="Guy Thornhill"/>
        <s v="Daniel Arnold"/>
        <s v="Sarah Richardson"/>
        <s v="Nathan Gallagher"/>
        <s v="Chloe Brown"/>
        <s v="Margaret Woolley"/>
      </sharedItems>
    </cacheField>
    <cacheField name="Corporate Plan Ref Number" numFmtId="0">
      <sharedItems/>
    </cacheField>
    <cacheField name="Measures" numFmtId="0">
      <sharedItems/>
    </cacheField>
    <cacheField name="Target 2020/21" numFmtId="0">
      <sharedItems/>
    </cacheField>
    <cacheField name="Target Date" numFmtId="49">
      <sharedItems containsBlank="1"/>
    </cacheField>
    <cacheField name="Quarter 1 _x000a_(April - June 2020)" numFmtId="0">
      <sharedItems containsBlank="1" containsMixedTypes="1" containsNumber="1" minValue="0" maxValue="2220350.39" longText="1"/>
    </cacheField>
    <cacheField name="End of year forecast as at end of Q1_x000a_(NUMERICAL INDICATORS ONLY)" numFmtId="0">
      <sharedItems containsBlank="1" containsMixedTypes="1" containsNumber="1" minValue="0.7" maxValue="2000000"/>
    </cacheField>
    <cacheField name="Quarter 1 On Track? (R/A/G)" numFmtId="0">
      <sharedItems/>
    </cacheField>
    <cacheField name="Comments / Further action (Q1)_x000a_(IF APPLICABLE)" numFmtId="0">
      <sharedItems containsBlank="1"/>
    </cacheField>
    <cacheField name="Quarter 2 _x000a_(July - September 2020)" numFmtId="0">
      <sharedItems containsBlank="1" containsMixedTypes="1" containsNumber="1" minValue="0" maxValue="2434472.23" longText="1"/>
    </cacheField>
    <cacheField name="Year to date_x000a_(April - Sept 2020)_x000a_(NUMERICAL INDICATORS ONLY)" numFmtId="0">
      <sharedItems containsBlank="1" containsMixedTypes="1" containsNumber="1" minValue="0" maxValue="2434472.23"/>
    </cacheField>
    <cacheField name="End of year forecast as at end of Q2_x000a_(NUMERICAL INDICATORS ONLY)" numFmtId="0">
      <sharedItems containsBlank="1" containsMixedTypes="1" containsNumber="1" minValue="0.7" maxValue="2500000"/>
    </cacheField>
    <cacheField name="Quarter 2_x000a_ On Track? (R/A/G)" numFmtId="17">
      <sharedItems/>
    </cacheField>
    <cacheField name="Comments / Further action (Q2)_x000a_(IF APPLICABLE)" numFmtId="0">
      <sharedItems containsBlank="1" longText="1"/>
    </cacheField>
    <cacheField name="Quarter 3_x000a_(October - December 2020)" numFmtId="0">
      <sharedItems containsBlank="1" containsMixedTypes="1" containsNumber="1" minValue="0.83979999999999999" maxValue="6" longText="1"/>
    </cacheField>
    <cacheField name="Year to date_x000a_(April - Dec 2020)_x000a_(NUMERICAL INDICATORS ONLY)" numFmtId="0">
      <sharedItems containsBlank="1" containsMixedTypes="1" containsNumber="1" minValue="0.53859999999999997" maxValue="2190835"/>
    </cacheField>
    <cacheField name="End of year forecast as at end of Q3_x000a_(NUMERICAL INDICATORS ONLY)" numFmtId="0">
      <sharedItems containsBlank="1" containsMixedTypes="1" containsNumber="1" minValue="0.6" maxValue="2100000"/>
    </cacheField>
    <cacheField name="Quarter 3 _x000a_On Track? (R/A/G)" numFmtId="0">
      <sharedItems/>
    </cacheField>
    <cacheField name="Comments / Further action (Q3)_x000a_(IF APPLICABLE)" numFmtId="0">
      <sharedItems containsBlank="1"/>
    </cacheField>
    <cacheField name="Quarter 4_x000a_(January - March 2021)" numFmtId="0">
      <sharedItems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ontainsNonDate="0" containsString="0" containsBlank="1"/>
    </cacheField>
    <cacheField name="Service" numFmtId="0">
      <sharedItems/>
    </cacheField>
    <cacheField name="Team" numFmtId="0">
      <sharedItems/>
    </cacheField>
    <cacheField name="Corporate Priority" numFmtId="0">
      <sharedItems/>
    </cacheField>
    <cacheField name="Portfolio" numFmtId="0">
      <sharedItems/>
    </cacheField>
    <cacheField name="Former Portfolio (pre Dec 2020 Cabinet)"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x v="0"/>
    <s v="CR02"/>
    <s v="Proactively Supporting the Boundary Review of East Staffordshire"/>
    <s v="Respond to Boundary Review Consultation in line with LGBCE timetable"/>
    <m/>
    <s v="The LGBCE has resumed the review of East Staffordshire, following a pause during the Covid-19 lockdown. _x000a_The consultation on the LGBCE's proposed boundaries will run until September 7th 2020 &amp; ESBC will respond from a electoral management perspective regarding the suggested names for the proposed new warded parishes."/>
    <m/>
    <s v="On Track to be Achieved"/>
    <m/>
    <s v="The LGBCE's final recommendations are due to be published 1st December 2020"/>
    <m/>
    <m/>
    <s v="On Track to be Achieved"/>
    <m/>
    <s v="The LGBCE have opened an additional phase of public consultation in their review of the Council's electoral arrangements. This period of consultation started 1st December 2020, and closes on 11th January 2021. _x000a_"/>
    <m/>
    <m/>
    <s v="On Track to be Achieved"/>
    <m/>
    <s v="The LGBCE published its final recommendations on 30th March 2021."/>
    <m/>
    <s v="Fully Achieved"/>
    <m/>
    <m/>
    <s v="Andy O'Brien"/>
    <s v="Electoral Services"/>
    <s v="Community Regeneration"/>
    <s v="Leader"/>
    <s v="Leader"/>
  </r>
  <r>
    <x v="1"/>
    <s v="CR03"/>
    <s v="Proactively Supporting the Boundary Review of East Staffordshire"/>
    <s v="Prepare for Polling Place Review following completion of Boundary Review"/>
    <s v="March 2021"/>
    <s v="Planning is in the preliminary stages in line with the LGBCE timetable and their initial recommendations published on 30 June 2020. LGBCE’s final recommendations are due to be published 1 December 2020."/>
    <m/>
    <s v="On Track to be Achieved"/>
    <m/>
    <s v="The preparation for the Polling Place Review is ongoing and will be delivered by the target date."/>
    <m/>
    <m/>
    <s v="On Track to be Achieved"/>
    <s v="The LGBCE's final recommendations are due to be published 1st December 2020"/>
    <s v="The LGBCE have indicated they will publish their final recommendations for the Borough in March 2021."/>
    <m/>
    <m/>
    <s v="On Track to be Achieved"/>
    <m/>
    <m/>
    <m/>
    <s v="Update not provided"/>
    <m/>
    <m/>
    <s v="Andy O'Brien"/>
    <s v="Electoral Services"/>
    <s v="Community Regeneration"/>
    <s v="Leader"/>
    <s v="Leader"/>
  </r>
  <r>
    <x v="2"/>
    <s v="CR04"/>
    <s v="Increasing Staffing Availability Through Reduced Sickness"/>
    <s v="Short Term Sickness Days Average: 2.98 days"/>
    <m/>
    <s v="0.21 days"/>
    <s v="2.5 days"/>
    <s v="On Track to be Achieved"/>
    <s v="Q1 2019/20 (last year) 0.69 days"/>
    <s v="0.54 days"/>
    <s v="0.72 days"/>
    <s v="2.37 days"/>
    <s v="On Track to be Achieved"/>
    <m/>
    <s v="0.55 days"/>
    <s v="1.25 days"/>
    <s v="2 days"/>
    <s v="On Track to be Achieved"/>
    <m/>
    <m/>
    <m/>
    <s v="Update not provided"/>
    <m/>
    <m/>
    <s v="Andy O'Brien"/>
    <s v="HR &amp; Payroll"/>
    <s v="Community Regeneration"/>
    <s v="Leader"/>
    <s v="Leader"/>
  </r>
  <r>
    <x v="2"/>
    <s v="CR05"/>
    <s v="Improve On The Average Time To Pay Creditors"/>
    <s v="Average Time To Pay Creditors: _x000a_10 days"/>
    <m/>
    <s v="9 days"/>
    <s v="10 days"/>
    <s v="On Track to be Achieved"/>
    <s v="Q1 2019/20 (last year) = 10 days"/>
    <s v="10 days"/>
    <s v="10 days"/>
    <s v="10 days"/>
    <s v="On Track to be Achieved"/>
    <m/>
    <s v="8 days"/>
    <s v="9 days"/>
    <s v="9 days"/>
    <s v="On Track to be Achieved"/>
    <m/>
    <m/>
    <m/>
    <s v="Update not provided"/>
    <m/>
    <m/>
    <s v="Andy O'Brien"/>
    <s v="HR &amp; Payroll"/>
    <s v="Community Regeneration"/>
    <s v="Leader"/>
    <s v="Leader"/>
  </r>
  <r>
    <x v="3"/>
    <s v="CR06"/>
    <s v="Legal and Assets"/>
    <s v="Commission a condition survey of the Council’s industrial units at Centrum 100 Business Park "/>
    <s v="September 2020"/>
    <m/>
    <m/>
    <s v="Not Yet Due"/>
    <m/>
    <s v="Survey commissioned 28th August 2020"/>
    <m/>
    <m/>
    <s v="Fully Achieved"/>
    <m/>
    <m/>
    <m/>
    <m/>
    <s v="Fully Achieved"/>
    <m/>
    <m/>
    <m/>
    <s v="Fully Achieved"/>
    <m/>
    <m/>
    <s v="Andy O'Brien"/>
    <s v="Assets &amp; Estates"/>
    <s v="Community Regeneration"/>
    <s v="Leader"/>
    <s v="Leader"/>
  </r>
  <r>
    <x v="3"/>
    <s v="CR07"/>
    <s v="Legal and Assets"/>
    <s v="Carry out works to 8 of the Council’s commercial properties, as identified in the condition survey"/>
    <s v="March 2021"/>
    <m/>
    <m/>
    <s v="Not Yet Due"/>
    <m/>
    <m/>
    <m/>
    <m/>
    <s v="Not yet due"/>
    <m/>
    <m/>
    <m/>
    <m/>
    <s v="On Track to be Achieved"/>
    <m/>
    <m/>
    <m/>
    <s v="Update not provided"/>
    <m/>
    <m/>
    <s v="Andy O'Brien"/>
    <s v="Assets &amp; Estates"/>
    <s v="Community Regeneration"/>
    <s v="Leader"/>
    <s v="Leader"/>
  </r>
  <r>
    <x v="4"/>
    <s v="CR08"/>
    <s v="Increase Capacity at Stapenhill Cemetery"/>
    <s v="Commence preparatory works for the expansion of Stapenhill Cemetery."/>
    <s v="December 2020"/>
    <s v="Consultants have been asked to update their revised quote from November 2019. Revised quote has been received and stage 1 investigation works have been ordered. "/>
    <m/>
    <s v="Fully Achieved"/>
    <m/>
    <s v="Tier 1 report received and passed to the Environment Agency for assessment"/>
    <m/>
    <m/>
    <s v="Fully Achieved"/>
    <m/>
    <m/>
    <m/>
    <m/>
    <s v="Fully Achieved"/>
    <m/>
    <m/>
    <m/>
    <s v="Fully Achieved"/>
    <m/>
    <m/>
    <s v="Mark Rizk"/>
    <s v="Communities, Open Spaces &amp; Facilities"/>
    <s v="Community Regeneration"/>
    <s v="Leisure, Amenities &amp; Tourism"/>
    <s v="Leisure, Culture &amp; Tourism"/>
  </r>
  <r>
    <x v="4"/>
    <s v="CR09"/>
    <s v="Market Hall Development Initiatives"/>
    <s v="Implement the outcome of the Market Hall future options review "/>
    <s v="March 2021"/>
    <s v="Deferred until later within this financial year, as this target is linked to the developing Stronger Towns work. Target to be revisited in October 2020. "/>
    <m/>
    <s v="Deferred"/>
    <m/>
    <s v="Target deferred as part of Q1 Review due to  coronavirus situation."/>
    <s v="N/A"/>
    <s v="N/A"/>
    <s v="Deferred"/>
    <s v="Government feedback in relation to Stronger Towns Fund not expected until March/April 2021 due to ongoing impact of Covid-19. "/>
    <s v="As per Quarter 2 report, this target has been deferred to allow for the outcome of the Stronger Towns work to be factored in to the long term service delivery approach"/>
    <m/>
    <m/>
    <s v="Deferred"/>
    <m/>
    <m/>
    <m/>
    <s v="Deferred"/>
    <m/>
    <m/>
    <s v="Mark Rizk"/>
    <s v="Markets"/>
    <s v="Community Regeneration"/>
    <s v="Leisure, Amenities &amp; Tourism"/>
    <s v="Leisure, Culture &amp; Tourism"/>
  </r>
  <r>
    <x v="4"/>
    <s v="CR10"/>
    <s v="Market Development Initiatives"/>
    <s v="Hold at least 7 commercial events in the Market Hall/Market Place "/>
    <s v="March 2021"/>
    <s v="Whilst there has been an impact on opportunities to hold commercial events in and around the Market Hall during quarter 1, opportunities do exist to hold events in the Market Place moving forward."/>
    <m/>
    <s v="On Track to be Achieved"/>
    <m/>
    <s v="Uncertainty regarding COVID19 restrictions has seen few enquires for the use of the market hall as an events venue. Ongoing restrictions are likely to place further pressure on the achievement of his target"/>
    <m/>
    <m/>
    <s v="In Danger of Falling Behind Target"/>
    <m/>
    <s v="The 2nd and 3rd lockdowns have prevented any events from being held during these times. Furthermore, potential organisers are fewer due to the pandemic situation"/>
    <m/>
    <m/>
    <s v="Off Target"/>
    <m/>
    <m/>
    <m/>
    <s v="Update not provided"/>
    <m/>
    <m/>
    <s v="Mark Rizk"/>
    <s v="Markets"/>
    <s v="Community Regeneration"/>
    <s v="Leisure, Amenities &amp; Tourism"/>
    <s v="Leisure, Culture &amp; Tourism"/>
  </r>
  <r>
    <x v="4"/>
    <s v="CR11"/>
    <s v="Market Hall Development Initiatives"/>
    <s v="Continue to benchmark Market Hall performance through APSE membership"/>
    <s v="March 2021"/>
    <s v="We have joined APSE"/>
    <m/>
    <s v="On Track to be Achieved"/>
    <m/>
    <s v="Market Hall data has been supplied for APSE for analysis and benchmarking comparison"/>
    <m/>
    <m/>
    <s v="Fully Achieved"/>
    <m/>
    <m/>
    <m/>
    <m/>
    <s v="Fully Achieved"/>
    <m/>
    <m/>
    <m/>
    <s v="Fully Achieved"/>
    <m/>
    <m/>
    <s v="Mark Rizk"/>
    <s v="Markets"/>
    <s v="Community Regeneration"/>
    <s v="Leisure, Amenities &amp; Tourism"/>
    <s v="Leisure, Culture &amp; Tourism"/>
  </r>
  <r>
    <x v="5"/>
    <s v="CR12"/>
    <s v="Major Planning Applications Determined Within 13 Weeks"/>
    <s v="Top Quartile as measured against relevant MHCLG figures"/>
    <m/>
    <s v="8 Applications all within time = 100%"/>
    <m/>
    <s v="On Track to be Achieved"/>
    <s v="Within top quartile based on CLG latest quarter reported."/>
    <s v="7 Applications all within time = 100%"/>
    <n v="100"/>
    <m/>
    <s v="On Track to be Achieved"/>
    <s v="Year to date figures are exceeding % MHCLG top quartile"/>
    <s v="13 Applications all within time = 100%"/>
    <n v="1"/>
    <n v="1"/>
    <s v="On Track to be Achieved"/>
    <s v="Year to date figures are exceeding % MHCLG top quartile"/>
    <m/>
    <m/>
    <s v="Update not provided"/>
    <m/>
    <m/>
    <s v="Sal Khan"/>
    <s v="Planning"/>
    <s v="Community Regeneration"/>
    <s v="Regeneration &amp; Planning Policy"/>
    <s v="Regeneration &amp; Planning Policy"/>
  </r>
  <r>
    <x v="5"/>
    <s v="CR13"/>
    <s v="Minor Planning Applications Determined Within 8 Weeks"/>
    <s v="Top Quartile as measured against relevant MHCLG figures"/>
    <m/>
    <s v="63 Applications of which 60 in time = 95%"/>
    <m/>
    <s v="On Track to be Achieved"/>
    <s v="Within top quartile based on CLG latest quarter reported."/>
    <s v="49 Applications of which 45 in time = 92%"/>
    <s v="105 on time out of 112 = 93.75%"/>
    <m/>
    <s v="On Track to be Achieved"/>
    <s v="Year to date figures are exceeding % MHCLG top quartile"/>
    <s v="60 Applications of which 55 in time = 92%"/>
    <n v="0.93"/>
    <n v="0.92"/>
    <s v="On Track to be Achieved"/>
    <s v="Year to date figures are equalling % MHCLG top quartile"/>
    <m/>
    <m/>
    <s v="Update not provided"/>
    <m/>
    <m/>
    <s v="Sal Khan"/>
    <s v="Planning"/>
    <s v="Community Regeneration"/>
    <s v="Regeneration &amp; Planning Policy"/>
    <s v="Regeneration &amp; Planning Policy"/>
  </r>
  <r>
    <x v="5"/>
    <s v="CR14"/>
    <s v="Other Planning Applications Determined in 8 Weeks"/>
    <s v="Top Quartile as measured against relevant MHCLG figures"/>
    <m/>
    <s v="124 Applications all within time = 100%"/>
    <m/>
    <s v="On Track to be Achieved"/>
    <s v="Within top quartile based on CLG latest quarter reported."/>
    <s v="142 Applications of which 135 in time = 95%"/>
    <s v="259 out of 266 = 97.37%"/>
    <m/>
    <s v="On Track to be Achieved"/>
    <s v="Year to date figures are exceeding % MHCLG top quartile"/>
    <s v="160 Applications of which 157 in time = 98%"/>
    <n v="0.98"/>
    <n v="0.98"/>
    <s v="On Track to be Achieved"/>
    <s v="Year to date figures are exceeding % MHCLG top quartile"/>
    <m/>
    <m/>
    <s v="Update not provided"/>
    <m/>
    <m/>
    <s v="Sal Khan"/>
    <s v="Planning"/>
    <s v="Community Regeneration"/>
    <s v="Regeneration &amp; Planning Policy"/>
    <s v="Regeneration &amp; Planning Policy"/>
  </r>
  <r>
    <x v="5"/>
    <s v="CR15"/>
    <s v="Supporting Neighbourhood Plans"/>
    <s v="Rolleston Neighbourhood Plan Made"/>
    <s v="Date TBC"/>
    <s v="Rolleston Neighbourhood Plan referendum delayed due to COVID-19._x000a_Target deferred to the next Corporate Plan year, as all elections have been postponed for 2020/21"/>
    <m/>
    <s v="Deferred"/>
    <m/>
    <s v="Target deferred as part of Q1 Review due to ongoing coronavirus situation"/>
    <s v="N/A"/>
    <s v="N/A"/>
    <s v="Deferred"/>
    <m/>
    <s v="Target deferred as part of Q1 Review due to ongoing coronavirus situation"/>
    <m/>
    <m/>
    <s v="Deferred"/>
    <m/>
    <m/>
    <m/>
    <s v="Deferred"/>
    <m/>
    <m/>
    <s v="Sal Khan"/>
    <s v="Planning"/>
    <s v="Community Regeneration"/>
    <s v="Regeneration &amp; Planning Policy"/>
    <s v="Regeneration &amp; Planning Policy"/>
  </r>
  <r>
    <x v="5"/>
    <s v="CR16"/>
    <s v="New and Refreshed Planning Policies"/>
    <s v="Finalise and adopt Brewery Building Conversion Design Guidance SPD"/>
    <s v="October 2020"/>
    <s v="On track - draft document have been considered by CMT and LDL."/>
    <m/>
    <s v="On Track to be Achieved"/>
    <m/>
    <s v="SPD has gone to LDL and the groups - to be adopted via EDR in October. "/>
    <m/>
    <m/>
    <s v="On Track to be Achieved"/>
    <m/>
    <s v="Adopted by EDR in October"/>
    <m/>
    <m/>
    <s v="Fully Achieved"/>
    <m/>
    <m/>
    <m/>
    <s v="Fully Achieved"/>
    <m/>
    <m/>
    <s v="Sal Khan"/>
    <s v="Planning"/>
    <s v="Community Regeneration"/>
    <s v="Regeneration &amp; Planning Policy"/>
    <s v="Regeneration &amp; Planning Policy"/>
  </r>
  <r>
    <x v="5"/>
    <s v="CR17"/>
    <s v="New and Refreshed Planning Policies"/>
    <s v="Publish Revised Statement of Community Involvement"/>
    <s v="March 2021"/>
    <s v="On track - draft document have been considered by CMT and LDL."/>
    <m/>
    <s v="On Track to be Achieved"/>
    <m/>
    <s v="Consultation draft has been undertaken and final version being prepared for November CMT. "/>
    <m/>
    <m/>
    <s v="On Track to be Achieved"/>
    <m/>
    <s v="Published in October"/>
    <m/>
    <m/>
    <s v="Fully Achieved"/>
    <m/>
    <m/>
    <m/>
    <s v="Fully Achieved"/>
    <m/>
    <m/>
    <s v="Sal Khan"/>
    <s v="Planning"/>
    <s v="Community Regeneration"/>
    <s v="Regeneration &amp; Planning Policy"/>
    <s v="Regeneration &amp; Planning Policy"/>
  </r>
  <r>
    <x v="5"/>
    <s v="CR18"/>
    <s v="New and Refreshed Planning Policies"/>
    <s v="Produce report and approach regarding Brownfield Register Part 2  "/>
    <s v="October 2020"/>
    <s v="On track - officers preparing documents to be considered in due course by CMT, LDL and Cabinet"/>
    <m/>
    <s v="On Track to be Achieved"/>
    <m/>
    <s v="Report prepared for October CMT and LDL"/>
    <m/>
    <m/>
    <s v="On Track to be Achieved"/>
    <m/>
    <s v="Report produced and presented to CMT and L&amp;DL in October and Cabinet in November 2020"/>
    <m/>
    <m/>
    <s v="Fully Achieved"/>
    <m/>
    <m/>
    <m/>
    <s v="Fully Achieved"/>
    <m/>
    <m/>
    <s v="Sal Khan"/>
    <s v="Planning"/>
    <s v="Community Regeneration"/>
    <s v="Regeneration &amp; Planning Policy"/>
    <s v="Regeneration &amp; Planning Policy"/>
  </r>
  <r>
    <x v="5"/>
    <s v="CR19"/>
    <s v="New and Refreshed Planning Policies"/>
    <s v="Revise and adopt Car parking SPD "/>
    <s v="October 2020"/>
    <s v="On track - draft document have been considered by CMT and LDL."/>
    <m/>
    <s v="On Track to be Achieved"/>
    <m/>
    <s v="SPD has gone to LDL and the groups - to be adopted via EDR in October. "/>
    <m/>
    <m/>
    <s v="On Track to be Achieved"/>
    <m/>
    <s v="SPD adopted via EDR in October "/>
    <m/>
    <m/>
    <s v="Fully Achieved"/>
    <m/>
    <m/>
    <m/>
    <s v="Fully Achieved"/>
    <m/>
    <m/>
    <s v="Sal Khan"/>
    <s v="Planning"/>
    <s v="Community Regeneration"/>
    <s v="Regeneration &amp; Planning Policy"/>
    <s v="Regeneration &amp; Planning Policy"/>
  </r>
  <r>
    <x v="6"/>
    <s v="CR20"/>
    <s v="Improve Burton town centre through significant environmental regeneration"/>
    <s v="Practical completion of the Station Street works via Amey"/>
    <s v="October 2020"/>
    <s v="The Works process started in late March 2020 and was able to continue throughout the lockdown period as the works were categorised as essential. _x000a__x000a_The works process is currently on programme and on target for practical completion to be achieved by the end of October 2020."/>
    <m/>
    <s v="On Track to be Achieved"/>
    <m/>
    <s v="The work on Station Street has continued on programme and remains on target for practical completion to be achieved by the end of October 2020."/>
    <m/>
    <m/>
    <s v="On Track to be Achieved"/>
    <m/>
    <s v="The Station Street works have practically completed."/>
    <m/>
    <m/>
    <s v="Fully Achieved"/>
    <m/>
    <m/>
    <m/>
    <s v="Fully Achieved"/>
    <m/>
    <m/>
    <s v="Andy O'Brien"/>
    <s v="Enterprise"/>
    <s v="Community Regeneration"/>
    <s v="Regeneration &amp; Planning Policy"/>
    <s v="Regeneration &amp; Planning Policy"/>
  </r>
  <r>
    <x v="6"/>
    <s v="CR21"/>
    <s v="Improve Burton town centre through significant environmental regeneration "/>
    <s v="Deliver phase 1 of the Washlands Enhancement Project, fully utilising the GBSLEP Local Growth Fund monies"/>
    <s v="March 2021"/>
    <s v="The funding profile for the Washlands has been reshaped, meaning that there is no longer a requirement for £1m to be spend before March 2021. This will enable the single phased delivery of the project and so phase 1 will now comprise the remaining design and development work, such as the planning application, permitting, and appointment of contractors."/>
    <m/>
    <s v="On Track to be Achieved"/>
    <m/>
    <s v="As per previous update, Phase 1 is now about completing the preparatory work for the implementation of the project. As such, during Q2, consultants (Black &amp; Veatch) have been appointed and are currently working on the ground investigations, planning application(s), and specification for contractors."/>
    <m/>
    <m/>
    <s v="On Track to be Achieved"/>
    <m/>
    <s v="A planning application has now been submitted, which will be considered during Q4."/>
    <m/>
    <m/>
    <s v="On Track to be Achieved"/>
    <m/>
    <m/>
    <m/>
    <s v="Update not provided"/>
    <m/>
    <m/>
    <s v="Andy O'Brien"/>
    <s v="Enterprise"/>
    <s v="Community Regeneration"/>
    <s v="Regeneration &amp; Planning Policy"/>
    <s v="Regeneration &amp; Planning Policy"/>
  </r>
  <r>
    <x v="6"/>
    <s v="CR22"/>
    <s v="Work towards achieving transformation regeneration for Burton upon Trent of up to £25m through the Towns Fund"/>
    <s v="Working with the Town Deal Board, develop a Town Investment Plan for Burton and create a business case for funding"/>
    <s v="March 2021"/>
    <s v="A Town Investment Plan is being developed, following the publication of Government guidance in June 2020. This is intended to be submitted in October 2020."/>
    <m/>
    <s v="On Track to be Achieved"/>
    <m/>
    <s v="A Town Investment Plan is being developed, following the publication of Government guidance in June 2020. This is intended to be submitted in October 2020."/>
    <m/>
    <m/>
    <s v="On Track to be Achieved"/>
    <m/>
    <s v="The Town Investment Plan was submitted in December 2020. The Town Deal Board is currently awaiting the outcome of the submission, anticipated during Q4."/>
    <m/>
    <m/>
    <s v="On Track to be Achieved"/>
    <m/>
    <m/>
    <m/>
    <s v="Update not provided"/>
    <m/>
    <m/>
    <s v="Andy O'Brien"/>
    <s v="Enterprise"/>
    <s v="Community Regeneration"/>
    <s v="Regeneration &amp; Planning Policy"/>
    <s v="Regeneration &amp; Planning Policy"/>
  </r>
  <r>
    <x v="6"/>
    <s v="CR23"/>
    <s v="Support the delivery of affordable housing on brownfield land through the utilisation of S106 commuted sums"/>
    <s v="Review the progress of existing S106 commuted sums and identify new projects for potential funding"/>
    <s v="October 2020"/>
    <m/>
    <m/>
    <s v="Not Yet Due"/>
    <m/>
    <s v="A report will be considered by Cabinet at its October 2020 meeting."/>
    <m/>
    <m/>
    <s v="On Track to be Achieved"/>
    <m/>
    <s v="An update was presented to Cabinet in October 2020."/>
    <m/>
    <m/>
    <s v="Fully Achieved"/>
    <m/>
    <m/>
    <m/>
    <s v="Fully Achieved"/>
    <m/>
    <m/>
    <s v="Andy O'Brien"/>
    <s v="Enterprise"/>
    <s v="Community Regeneration"/>
    <s v="Regeneration &amp; Planning Policy"/>
    <s v="Regeneration &amp; Planning Policy"/>
  </r>
  <r>
    <x v="6"/>
    <s v="CR24"/>
    <s v="Identify a vision for the future regeneration of Uttoxeter"/>
    <s v="Member approval of the final Uttoxeter Masterplan"/>
    <s v="December 2020"/>
    <s v="Cushman and Wakefield were appointed in late March 2020 as consultants to carry out an assessment of the success of the original Uttoxeter Masterplan from 2003 along with the creation a new version._x000a__x000a_Cushman and Wakefield have already completed the assessment of the original masterplan and are now working on the development of the baseline study and stakeholder engagement process."/>
    <m/>
    <s v="On Track to be Achieved"/>
    <m/>
    <s v="The consultants have undertaken a baseline review of Uttoxeter to identify the current functions of the town, its strengths and weaknesses, underlying threats to its future, identification of potential opportunities._x000a__x000a_Key local (community, business and political) stakeholders have been engaged and a public consultation process has also been completed._x000a__x000a_The consultants will review all aspects of the baseline work and responses from the consultation processes to move forward with the design options. These will be presented to the economic growth project group, before being finalised and presented at Full Council."/>
    <m/>
    <m/>
    <s v="On Track to be Achieved"/>
    <m/>
    <s v="The Uttoxeter Masterplan was approved at a meeting of Full Council in December 2020."/>
    <m/>
    <m/>
    <s v="Fully Achieved"/>
    <m/>
    <m/>
    <m/>
    <s v="Fully Achieved"/>
    <m/>
    <m/>
    <s v="Andy O'Brien"/>
    <s v="Enterprise"/>
    <s v="Community Regeneration"/>
    <s v="Regeneration &amp; Planning Policy"/>
    <s v="Regeneration &amp; Planning Policy"/>
  </r>
  <r>
    <x v="6"/>
    <s v="CR25"/>
    <s v="Promote local employment opportunities"/>
    <s v="Working with the Worklessness Action Group and local MP, support the delivery of three job fairs"/>
    <s v="March 2021"/>
    <s v="The first job fair of the year was planned for June 2020 and this was unfortunately cancelled as a result of COVID-19. It is not yet determined whether 3 can still be achieved in the year using alternative methods (such as virtual)."/>
    <m/>
    <s v="In Danger of Falling Behind Target"/>
    <m/>
    <s v="Job fairs are currently being delivered in a different way with targeted supported and 'virtual' job fairs through social media. As such, the work is not taking place in the same way, but is hopefully having the same impact."/>
    <s v="2 Virtual Job Fairs"/>
    <m/>
    <s v="On Track to be Achieved"/>
    <m/>
    <s v="Job fairs are currently being delivered in a different way with targeted supported and 'virtual' job fairs through social media. As such, the work is not taking place in the same way, but is hopefully having the same impact."/>
    <s v="2 virtual jobs fairs"/>
    <m/>
    <s v="On Track to be Achieved"/>
    <m/>
    <m/>
    <m/>
    <s v="Update not provided"/>
    <m/>
    <m/>
    <s v="Andy O'Brien"/>
    <s v="Enterprise"/>
    <s v="Community Regeneration"/>
    <s v="Regeneration &amp; Planning Policy"/>
    <s v="Regeneration &amp; Planning Policy"/>
  </r>
  <r>
    <x v="6"/>
    <s v="CR26"/>
    <s v="Continue to support local businesses to grow and innovate"/>
    <s v="Create a grant fund to support small businesses and deliver throughout the year"/>
    <s v="March 2021"/>
    <m/>
    <m/>
    <s v="Not Yet Due"/>
    <m/>
    <s v="Members have recently been provided with a  brief overview of how a scheme could operate and invited to provide comments, feedback and ideas. Whilst this is still being developed, it is imperative that any funding scheme complements national support rather than duplicates it and focuses on growth."/>
    <m/>
    <m/>
    <s v="On Track to be Achieved"/>
    <m/>
    <s v="A grant fund aimed at small businesses has been developed following consultation with Members, stakeholders and other Local Authorities. With the recent announcement of further COVID-19 support funding for businesses, it is proposed that the delivery of this fund is moved into the 21/22 Corporate Plan in order to avoid duplicating any existing support funding, with the scheme being aimed at growth."/>
    <m/>
    <m/>
    <s v="Deferred"/>
    <s v="It is proposed that the delivery of this programme commences in April 21."/>
    <m/>
    <m/>
    <s v="Deferred"/>
    <m/>
    <m/>
    <s v="Andy O'Brien"/>
    <s v="Enterprise"/>
    <s v="Community Regeneration"/>
    <s v="Regeneration &amp; Planning Policy"/>
    <s v="Regeneration &amp; Planning Policy"/>
  </r>
  <r>
    <x v="6"/>
    <s v="CR27"/>
    <s v="Continue to support local businesses to grow and innovate"/>
    <s v="Provide direct support to 20 businesses through the Growth Hub Advisor contract"/>
    <s v="March 2021"/>
    <s v="Businesses are being supported by advice from the Growth Hub Advisor contract, however the nature of this advice has notably changed to reflect COVID-19. An exact number of businesses supported has not yet been issued, but it is believed to be proportionate to the quarter."/>
    <m/>
    <s v="On Track to be Achieved"/>
    <m/>
    <s v="Businesses are being supported by advice from the Growth Hub Advisor contract, however the nature of this advice has notably changed to reflect COVID-19. An exact number of businesses supported has not yet been issued, but it is believed to be proportionate to the quarter."/>
    <m/>
    <m/>
    <s v="On Track to be Achieved"/>
    <m/>
    <s v="Through the initial scope of the contract, 9 East Staffordshire businesses have been supported. However, during Q2 and Q3 the Growth Hub contract was providing specific COVID-19 support to businesses in place of the initial scope of this contract and supported a further 15 organisations, providing a cumulative total of 24."/>
    <m/>
    <n v="24"/>
    <s v="Fully Achieved"/>
    <m/>
    <m/>
    <m/>
    <s v="Fully Achieved"/>
    <m/>
    <m/>
    <s v="Andy O'Brien"/>
    <s v="Enterprise"/>
    <s v="Community Regeneration"/>
    <s v="Regeneration &amp; Planning Policy"/>
    <s v="Regeneration &amp; Planning Policy"/>
  </r>
  <r>
    <x v="6"/>
    <s v="CR28"/>
    <s v="Continue to work effectively with regeneration partners"/>
    <s v="Continue to work with strategic tourism partners, such as the National Forest, the Campaign to Reopen the Ivanhoe Line and the TTTV, on the regeneration of the borough"/>
    <s v="March 2021"/>
    <s v="Work continues with these organisations. The Brook Hollows project is being taken forwards with the TTTV and now in partnership with the EA. The Ivanhoe Line project is progressing well, however members of that group were affected by Shielding requirements."/>
    <m/>
    <s v="On Track to be Achieved"/>
    <s v="In May 2020 the government announced the Ivanhoe line would be 1 of 10 campaigns to received support from the 'restoring your railways fund'"/>
    <s v="Work continues with these organisations, with partnerships continuing to develop and grow."/>
    <m/>
    <m/>
    <s v="On Track to be Achieved"/>
    <m/>
    <s v="Partnership working with organisations such as the National Forest and TTTV is ongoing."/>
    <m/>
    <m/>
    <s v="On Track to be Achieved"/>
    <m/>
    <m/>
    <m/>
    <s v="Update not provided"/>
    <m/>
    <m/>
    <s v="Andy O'Brien"/>
    <s v="Enterprise"/>
    <s v="Community Regeneration"/>
    <s v="Regeneration &amp; Planning Policy"/>
    <s v="Regeneration &amp; Planning Policy"/>
  </r>
  <r>
    <x v="7"/>
    <s v="EHW01"/>
    <s v="Delivering Better Services to Support Homelessness"/>
    <s v="Promote, monitor and report on the Burton and East Staffordshire Partnership, produce two activity reports during the year"/>
    <s v="(Sep 20 / Mar 21)"/>
    <s v="The Partnership has been instrumental in responding to the lockdown and associated 'Everyone In' campaign. A virtual meeting to debrief and consider how we can consolidate the gains that have been made is taking place in July."/>
    <m/>
    <s v="On Track to be Achieved"/>
    <m/>
    <s v="Following a successful bid to the MHCLG's NSAP Fund for interim accommodation, the Partnership has been instrumental in providing a joined up approach to recipients of the intervention. An activity report reviewing the East Staffs Homeless Partnership was considered at CMT &amp; LDL in September 2020. "/>
    <m/>
    <m/>
    <s v="On Track to be Achieved"/>
    <m/>
    <s v="The Partnership continues to function effectively in securing move on for recipients of the Next Steps Accommodation Programme funded interim accommodation."/>
    <m/>
    <m/>
    <s v="On Track to be Achieved"/>
    <m/>
    <m/>
    <m/>
    <s v="Update not provided"/>
    <m/>
    <m/>
    <s v="Sal Khan"/>
    <s v="Housing Options"/>
    <s v="Environment and Health &amp; Wellbeing"/>
    <s v="Environment &amp; Housing"/>
    <s v="Environment &amp; Housing"/>
  </r>
  <r>
    <x v="7"/>
    <s v="EHW02"/>
    <s v="Delivering Better Services to Support Homelessness"/>
    <s v="Evaluate and build on the existing MHCLG/ESBC projects to target entrenched rough sleepers with two activity reports during the year_x000a__x000a_Prepare and submit new applications to MHCLG as and when appropriate during the year "/>
    <s v="(Sept 2020 / Mar 2021)"/>
    <s v="The projects that are funded by the MHCLG's 'Rough Sleeping Initiative' have been effective in supporting individuals to exit from the 'Everyone In' campaign with settled solutions. There is an initial proposal for an additional project, although the MHCLG's prospectus to secure the funding has not yet been released. "/>
    <m/>
    <s v="On Track to be Achieved"/>
    <m/>
    <s v="An application to the MHCLG's NSAP Fund was submitted in August 2020. The application had two parts, with the first part having been successful and the second part yet to be determined. An activity report reviewing the rough sleeping projects was considered at CMT &amp; LDL in September 2020.  "/>
    <m/>
    <m/>
    <s v="On Track to be Achieved"/>
    <m/>
    <s v="Cold Weather Funding was secured to top up our existing interim accommodation fund. Early discussion have taken place with the MHCLG with regard to funding for 21/22."/>
    <m/>
    <m/>
    <s v="On Track to be Achieved"/>
    <m/>
    <m/>
    <m/>
    <s v="Update not provided"/>
    <m/>
    <m/>
    <s v="Sal Khan"/>
    <s v="Housing Options"/>
    <s v="Environment and Health &amp; Wellbeing"/>
    <s v="Environment &amp; Housing"/>
    <s v="Environment &amp; Housing"/>
  </r>
  <r>
    <x v="7"/>
    <s v="EHW03"/>
    <s v="Proactively reducing the number of empty homes in the borough"/>
    <s v="Produce annual contract performance report"/>
    <s v="March 2021"/>
    <s v="This work is well underway, and early analysis indicates that the contract has delivered a strong set of results."/>
    <m/>
    <s v="On Track to be Achieved"/>
    <m/>
    <s v="Grafton have been refining the list of empty homes to be considered for further enforcement in the forthcoming Cabinet report. An additional 111 properties that have remained empty for 2 years have been contacted with a stage 1 letter."/>
    <m/>
    <m/>
    <s v="On Track to be Achieved"/>
    <m/>
    <s v="The recording mechanisms for the delivery of the contract have been enhanced to provide a richer data set. Full report to be taken forward in Q4."/>
    <m/>
    <m/>
    <s v="On Track to be Achieved"/>
    <m/>
    <m/>
    <m/>
    <s v="Update not provided"/>
    <m/>
    <m/>
    <s v="Sal Khan"/>
    <s v="Housing Options"/>
    <s v="Environment and Health &amp; Wellbeing"/>
    <s v="Environment &amp; Housing"/>
    <s v="Environment &amp; Housing"/>
  </r>
  <r>
    <x v="7"/>
    <s v="EHW04"/>
    <s v="Delivering Better Services to Support Homelessness"/>
    <s v="Average time from appointment to initial decision for homeless applicants of 3 days"/>
    <m/>
    <s v="The Housing Options Team made 63 initial decisions this quarter, with an average time to decision of 0.75 days."/>
    <s v="1 day"/>
    <s v="On Track to be Achieved"/>
    <m/>
    <s v="The Housing Options Team made 65 initial decisions this quarter, with an average time of 0.0 days."/>
    <s v="0.35 days"/>
    <s v="0.5 days"/>
    <s v="On Track to be Achieved"/>
    <m/>
    <s v="The Housing Options Team made 71 initial decisions this quarter, with an average time to decision of 0.62 days."/>
    <s v="0.46 days"/>
    <s v="0.5 days"/>
    <s v="On Track to be Achieved"/>
    <m/>
    <m/>
    <m/>
    <s v="Update not provided"/>
    <m/>
    <m/>
    <s v="Sal Khan"/>
    <s v="Housing Options"/>
    <s v="Environment and Health &amp; Wellbeing"/>
    <s v="Environment &amp; Housing"/>
    <s v="Environment &amp; Housing"/>
  </r>
  <r>
    <x v="7"/>
    <s v="EHW05"/>
    <s v="Continue to Maximise Utilisation of Self Contained Temporary Accommodation for Homeless Applicants"/>
    <s v="Reduce ‘Key to Key’ Void Turnaround to an average of 6 working days"/>
    <m/>
    <s v="There was only 1 'Key to Key' occasion during this quarter; this is because households in B&amp;B were prioritised to be moved directly into settled accommodation to avoid the number of contacts. This 1 move took 2 working days."/>
    <s v="5 days"/>
    <s v="On Track to be Achieved"/>
    <m/>
    <s v="There were 5 'Key to Key' occasions during this quarter. The average across the 5 moves is 5.2 days, with one move increasing the average at 12 days due to the need to replace white goods. "/>
    <s v="4.7 days"/>
    <s v="5 days"/>
    <s v="On Track to be Achieved"/>
    <m/>
    <s v="There were 5 'Key to Key' occasions during this quarter with an average of 4 days."/>
    <s v="3.7 days"/>
    <s v="5 days"/>
    <s v="On Track to be Achieved"/>
    <m/>
    <m/>
    <m/>
    <s v="Update not provided"/>
    <m/>
    <m/>
    <s v="Sal Khan"/>
    <s v="Housing Options"/>
    <s v="Environment and Health &amp; Wellbeing"/>
    <s v="Environment &amp; Housing"/>
    <s v="Environment &amp; Housing"/>
  </r>
  <r>
    <x v="7"/>
    <s v="EHW06"/>
    <s v="Improving our Housing Strategy Initiatives "/>
    <s v="Refreshed Housing Strategy"/>
    <s v="December 2020"/>
    <s v="The lay out and structure of the document has been drafted, with a move toward the look and feel of the current Homelessness Strategy."/>
    <m/>
    <s v="On Track to be Achieved"/>
    <m/>
    <s v="Following internal consultation, a draft Housing Strategy is now out to public consultation."/>
    <m/>
    <m/>
    <s v="On Track to be Achieved"/>
    <m/>
    <s v="Housing 2021 - 24 adopted at Cabinet on 14 December 2020."/>
    <m/>
    <m/>
    <s v="Fully Achieved"/>
    <m/>
    <m/>
    <m/>
    <s v="Fully Achieved"/>
    <m/>
    <m/>
    <s v="Sal Khan"/>
    <s v="Housing Options"/>
    <s v="Environment and Health &amp; Wellbeing"/>
    <s v="Environment &amp; Housing"/>
    <s v="Environment &amp; Housing"/>
  </r>
  <r>
    <x v="7"/>
    <s v="EHW07"/>
    <s v="Improving our Housing Strategy Initiatives"/>
    <s v="Report opportunities for improving Housing Register Service"/>
    <s v="December 2020"/>
    <s v="A streamlined digital application system has been undergoing rigorous testing and is due to launch to the public next month."/>
    <m/>
    <s v="On Track to be Achieved"/>
    <m/>
    <s v="Online applications to join the Housing Register launched on 22 September, and early indications are that this project has been a success. Analysis of the data and consideration of the improvement to the customer journey to take place ahead of a report due in the next quarter. "/>
    <m/>
    <m/>
    <s v="On Track to be Achieved"/>
    <m/>
    <s v="Report taken forward to LDL on 23 November 2020."/>
    <m/>
    <m/>
    <s v="Fully Achieved"/>
    <m/>
    <m/>
    <m/>
    <s v="Fully Achieved"/>
    <m/>
    <m/>
    <s v="Sal Khan"/>
    <s v="Housing Options"/>
    <s v="Environment and Health &amp; Wellbeing"/>
    <s v="Environment &amp; Housing"/>
    <s v="Environment &amp; Housing"/>
  </r>
  <r>
    <x v="8"/>
    <s v="EHW08"/>
    <s v="Maintain Top Quartile Performance For Street Cleansing - Litter"/>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09"/>
    <s v="Maintain Top Quartile Performance For Street Cleansing - Detritus"/>
    <s v="Maintain Top Quartile Performance"/>
    <m/>
    <s v="Not yet due - surveys run April - July"/>
    <m/>
    <s v="Not Yet Due"/>
    <m/>
    <s v="0% April - July"/>
    <m/>
    <m/>
    <s v="On Track to be Achieved"/>
    <m/>
    <s v="0% Aug- Nov"/>
    <m/>
    <m/>
    <s v="On Track to be Achieved"/>
    <m/>
    <m/>
    <m/>
    <s v="Update not provided"/>
    <m/>
    <m/>
    <s v="Sal Khan"/>
    <s v="Environment"/>
    <s v="Environment and Health &amp; Wellbeing"/>
    <s v="Environment &amp; Housing"/>
    <s v="Environment &amp; Housing"/>
  </r>
  <r>
    <x v="8"/>
    <s v="EHW10"/>
    <s v="Maintain Top Quartile Performance For Street Cleansing - Graffiti"/>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1"/>
    <s v="Maintain Top Quartile Performance For Street Cleansing – Fly-Posting"/>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2"/>
    <s v="Maintain Top Quartile Performance On Recycling "/>
    <s v="Household Waste Recycled and Composted:_x000a_Maintain Top Quartile Performance"/>
    <m/>
    <s v="46.28% - estimated"/>
    <m/>
    <s v="On Track to be Achieved"/>
    <m/>
    <s v="47% - estimated"/>
    <s v="47.5% - estimated"/>
    <s v="41% - estimated"/>
    <s v="On Track to be Achieved"/>
    <m/>
    <s v="39.52% - estimated as not all data received"/>
    <m/>
    <s v="43.27% - estimated"/>
    <s v="On Track to be Achieved"/>
    <m/>
    <m/>
    <m/>
    <s v="Update not provided"/>
    <m/>
    <m/>
    <s v="Sal Khan"/>
    <s v="Environment"/>
    <s v="Environment and Health &amp; Wellbeing"/>
    <s v="Environment &amp; Housing"/>
    <s v="Environment &amp; Housing"/>
  </r>
  <r>
    <x v="8"/>
    <s v="EHW13"/>
    <s v="Maintain Top Quartile Performance On Waste Reduction "/>
    <s v="Residual Household Waste Per Household: _x000a_Maintain Top Quartile Performance"/>
    <m/>
    <s v="144.65kg - estimated. Collection tonnages are higher than normal for Q1 due to the impact of the pandemic. This may effect the outturn figure."/>
    <m/>
    <s v="On Track to be Achieved"/>
    <m/>
    <s v="138.86kg - estimated"/>
    <s v="276kg - estimated"/>
    <s v="560kg - estimated"/>
    <s v="On Track to be Achieved"/>
    <m/>
    <s v="133.04kg - estimated as not all data received"/>
    <s v="Increased tonnages due to COVID/lockdown of approx. 8%"/>
    <s v="535kg - estimated"/>
    <s v="On Track to be Achieved"/>
    <m/>
    <m/>
    <m/>
    <s v="Update not provided"/>
    <m/>
    <m/>
    <s v="Sal Khan"/>
    <s v="Environment"/>
    <s v="Environment and Health &amp; Wellbeing"/>
    <s v="Environment &amp; Housing"/>
    <s v="Environment &amp; Housing"/>
  </r>
  <r>
    <x v="4"/>
    <s v="EHW14"/>
    <s v="Open Spaces Initiatives "/>
    <s v="Develop a Borough wide parks development plan"/>
    <s v="December 2020"/>
    <m/>
    <m/>
    <s v="Not Yet Due"/>
    <m/>
    <m/>
    <m/>
    <m/>
    <s v="Not yet due"/>
    <m/>
    <s v="Parks Development Plan written and completed with Cabinet approval given in December"/>
    <m/>
    <m/>
    <s v="Fully Achieved"/>
    <m/>
    <m/>
    <m/>
    <s v="Fully Achieved"/>
    <m/>
    <m/>
    <s v="Mark Rizk"/>
    <s v="Communities, Open Spaces &amp; Facilities"/>
    <s v="Environment and Health &amp; Wellbeing"/>
    <s v="Leisure, Amenities &amp; Tourism"/>
    <s v="Leisure, Culture &amp; Tourism"/>
  </r>
  <r>
    <x v="4"/>
    <s v="EHW15"/>
    <s v="Open Spaces Initiatives "/>
    <s v="Achieve 2 in bloom gold awards and support Uttoxeter in the 2020 National In bloom awards"/>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6"/>
    <s v="Open Spaces Initiatives "/>
    <s v="Achieve 1 Green Flag award"/>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7"/>
    <s v="Open Spaces Initiatives"/>
    <s v="Increase the marks awarded to the 9 parks  in  the “It’s Your Neighbourhood” Parks category by an average of 10%"/>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8"/>
    <s v="Develop Tourism within the Borough"/>
    <s v="Develop a tactical approach and plan for tourism in East Staffordshire"/>
    <s v="October 2020"/>
    <s v="Draft document to be shared with the Deputy Leader early in Quarter 2"/>
    <m/>
    <s v="On Track to be Achieved"/>
    <m/>
    <s v="Plan to be approved by Cabinet in October"/>
    <m/>
    <m/>
    <s v="On Track to be Achieved"/>
    <m/>
    <s v="Plan approved by Cabinet in October"/>
    <m/>
    <m/>
    <s v="Fully Achieved"/>
    <m/>
    <m/>
    <m/>
    <s v="Fully Achieved"/>
    <m/>
    <m/>
    <s v="Mark Rizk"/>
    <s v="Communities, Open Spaces &amp; Facilities"/>
    <s v="Environment and Health &amp; Wellbeing"/>
    <s v="Leisure, Amenities &amp; Tourism"/>
    <s v="Leisure, Culture &amp; Tourism"/>
  </r>
  <r>
    <x v="9"/>
    <s v="EHW19"/>
    <s v="Compliance Inspections in support of Public Protection"/>
    <s v="Undertake two high profile initiatives aimed at monitoring compliance and ensuring public protection"/>
    <s v="March 2021"/>
    <s v="Initiatives currently being taken to investigate Covid-19 compliance in businesses that are starting to reopen"/>
    <m/>
    <s v="On Track to be Achieved"/>
    <m/>
    <s v="Ongoing partnership work with Staffordshire County Council and the Police for Covid enforcement and compliance in high risk establishments"/>
    <m/>
    <m/>
    <s v="On Track to be Achieved"/>
    <m/>
    <s v="Ongoing partnership work with Staffordshire County Council and Police. Targeted compliance letters sent to warehouses in Centrum 100 area due to high numbers of Covid cases and focussed media posts to increase compliance with covid measures prior to xmas period. "/>
    <m/>
    <m/>
    <s v="On Track to be Achieved"/>
    <m/>
    <m/>
    <m/>
    <s v="Update not provided"/>
    <m/>
    <m/>
    <s v="Mark Rizk"/>
    <s v="Environmental Health"/>
    <s v="Environment and Health &amp; Wellbeing"/>
    <s v="Community &amp; Regulatory Services"/>
    <s v="Regulatory &amp; Community Support"/>
  </r>
  <r>
    <x v="10"/>
    <s v="EHW20"/>
    <s v="Community &amp; Civil Enforcement Initiatives"/>
    <s v="Undertake 8 focused initiatives (including fly tipping) across the Borough and deliver at least 6 education programs in local schools. "/>
    <s v="March 2021"/>
    <s v="Planned initiatives have not yet taken place. This is due to school closures and the CCEO's have been involved in Covid-19 related tasks, shielding or WFH. "/>
    <m/>
    <s v="In Danger of Falling Behind Target"/>
    <s v="Alternative options being looked into such as other community groups i.e. scouts, brownies, cadets. Those contacted are functioning remotely. "/>
    <s v="Two initiatives have been completed during September. The first in Anglesey and the second in Shobnall. A further two are organised for October, one in Horninglow and one in Eton. Due to COVID 19 and the challenges faced, including Covid Marshal activity, these have not &amp; will not include schools at this stage."/>
    <m/>
    <m/>
    <s v="In Danger of Falling Behind Target"/>
    <m/>
    <s v="Completed a total of 6x initiatives. Q3 were Horninglow / The Kingfisher Trail / Eton / Branston. Contact has been made with 51 schools including providing educational literature based around core topics such as fly-tipping, littering and dog fouling."/>
    <m/>
    <m/>
    <s v="On Track to be Achieved"/>
    <m/>
    <m/>
    <m/>
    <s v="Update not provided"/>
    <m/>
    <m/>
    <s v="Mark Rizk"/>
    <s v="Civil Enforcement"/>
    <s v="Environment and Health &amp; Wellbeing"/>
    <s v="Community &amp; Regulatory Services"/>
    <s v="Regulatory &amp; Community Support"/>
  </r>
  <r>
    <x v="9"/>
    <s v="EHW21"/>
    <s v="Development of the Selective Licensing Scheme"/>
    <s v="Selective Licensing Designation Approved"/>
    <s v="Date TBC"/>
    <s v="Target to be deferred to the next Corporate Plan year, as there is currently no indication that the necessary Government guidance will be received this year. "/>
    <m/>
    <s v="Deferred"/>
    <m/>
    <s v="Target deferred as part of Q1 Review due to ongoing coronavirus situation"/>
    <s v="N/A"/>
    <s v="N/A"/>
    <s v="Deferred"/>
    <m/>
    <s v="Target deferred as part of Q1 Review due to ongoing coronavirus situation"/>
    <m/>
    <m/>
    <s v="Deferred"/>
    <m/>
    <m/>
    <m/>
    <s v="Deferred"/>
    <m/>
    <m/>
    <s v="Mark Rizk"/>
    <s v="Environmental Health"/>
    <s v="Environment and Health &amp; Wellbeing"/>
    <s v="Community &amp; Regulatory Services"/>
    <s v="Regulatory &amp; Community Support"/>
  </r>
  <r>
    <x v="9"/>
    <s v="EHW22"/>
    <s v="Development of the Selective Licensing Scheme"/>
    <s v="Selective Licensing Third Year Review Complete"/>
    <s v="November 2020"/>
    <s v="On track to be completed"/>
    <m/>
    <s v="On Track to be Achieved"/>
    <m/>
    <s v="Report completed for CMT"/>
    <m/>
    <m/>
    <s v="On Track to be Achieved"/>
    <m/>
    <s v="Selective Licensing Review report completed and approved by Cabinet in  November 2020"/>
    <m/>
    <m/>
    <s v="Fully Achieved"/>
    <m/>
    <m/>
    <m/>
    <s v="Fully Achieved"/>
    <m/>
    <m/>
    <s v="Mark Rizk"/>
    <s v="Environmental Health"/>
    <s v="Environment and Health &amp; Wellbeing"/>
    <s v="Community &amp; Regulatory Services"/>
    <s v="Regulatory &amp; Community Support"/>
  </r>
  <r>
    <x v="9"/>
    <s v="EHW23"/>
    <s v="Partnership working with Trading Standards Regarding Tenant Fees"/>
    <s v="Undertake a Targeted Initiative to Investigate and Enforce Compliance with Tenant Fees Legislation"/>
    <s v="March 2021"/>
    <s v="1 case of non compliance is currently being investigated in partnership with Staffordshire County Council"/>
    <m/>
    <s v="On Track to be Achieved"/>
    <m/>
    <s v="Draft strategy for targeting tenants and landlords to check for compliance"/>
    <m/>
    <m/>
    <s v="Not yet due"/>
    <m/>
    <s v="Initial work undertaken focussing on a non-compliant letting agent. This is currently on hold due to Covid. "/>
    <m/>
    <m/>
    <s v="On Track to be Achieved"/>
    <m/>
    <m/>
    <m/>
    <s v="Update not provided"/>
    <m/>
    <m/>
    <s v="Mark Rizk"/>
    <s v="Environmental Health"/>
    <s v="Environment and Health &amp; Wellbeing"/>
    <s v="Community &amp; Regulatory Services"/>
    <s v="Regulatory &amp; Community Support"/>
  </r>
  <r>
    <x v="9"/>
    <s v="EHW24"/>
    <s v="Disabled Facilities Grant Review"/>
    <s v="Complete Annual Review of Disabled Facilities Grant Service"/>
    <s v="December 2020"/>
    <s v="On track to be completed"/>
    <m/>
    <s v="On Track to be Achieved"/>
    <m/>
    <s v="CMT report currently being drafted"/>
    <m/>
    <m/>
    <s v="On Track to be Achieved"/>
    <m/>
    <s v="Disabled Facilities Grant Review completed and agreed by Cabinet in December 2020"/>
    <m/>
    <m/>
    <s v="Fully Achieved"/>
    <m/>
    <m/>
    <m/>
    <s v="Fully Achieved"/>
    <m/>
    <m/>
    <s v="Mark Rizk"/>
    <s v="Environmental Health"/>
    <s v="Environment and Health &amp; Wellbeing"/>
    <s v="Community &amp; Regulatory Services"/>
    <s v="Regulatory &amp; Community Support"/>
  </r>
  <r>
    <x v="9"/>
    <s v="EHW25"/>
    <s v="Climate Change &amp; Air Quality Policy"/>
    <s v="Consider the declaration of a Climate Emergency and implement and monitor a Climate Change action plan-including an annual update"/>
    <s v="August 2020"/>
    <s v="The report for a Climate Change Emergency Declaration and supporting action plan has been completed and is being taken to the groups in July for approval in August."/>
    <m/>
    <s v="On Track to be Achieved"/>
    <m/>
    <s v="Report completed and agreed in August 2020"/>
    <m/>
    <m/>
    <s v="Fully Achieved"/>
    <m/>
    <s v="Completed in August 2020"/>
    <m/>
    <m/>
    <s v="Fully Achieved"/>
    <m/>
    <m/>
    <m/>
    <s v="Fully Achieved"/>
    <m/>
    <m/>
    <s v="Mark Rizk"/>
    <s v="Environmental Health"/>
    <s v="Environment and Health &amp; Wellbeing"/>
    <s v="Community &amp; Regulatory Services"/>
    <s v="Regulatory &amp; Community Support"/>
  </r>
  <r>
    <x v="9"/>
    <s v="EHW26"/>
    <s v="Multi-agency Initiatives to Combat Modern Slavery"/>
    <s v="Carry out Covid-19 compliance checks across the Borough and report progress on a quarterly basis"/>
    <s v="March 2021"/>
    <s v="Focussed covid compliance checks are being undertaken in licensed premises along with targeted initiatives to businesses within Uxbridge Street, Waterloo Street and Horninglow Road. Business packs have been distributed along with letters advising of additional restrictions that shops should put in place to reduce customer numbers and ensure customers wear face coverings. "/>
    <m/>
    <s v="On Track to be Achieved"/>
    <m/>
    <s v="Focussed compliance checks in high risk premises such as takeaways, licensed premises and warehouses"/>
    <m/>
    <m/>
    <s v="On Track to be Achieved"/>
    <m/>
    <s v="Focussed compliance checks in high risk businesses such as takeaways, licensed premises and warehouses"/>
    <m/>
    <m/>
    <s v="On Track to be Achieved"/>
    <m/>
    <m/>
    <m/>
    <s v="Update not provided"/>
    <m/>
    <m/>
    <s v="Mark Rizk"/>
    <s v="Environmental Health"/>
    <s v="Environment and Health &amp; Wellbeing"/>
    <s v="Community &amp; Regulatory Services"/>
    <s v="Regulatory &amp; Community Support"/>
  </r>
  <r>
    <x v="11"/>
    <s v="VFM01"/>
    <s v="Continue to Improve Financial Resilience"/>
    <s v="Compliance with HMRC VAT Digitalisation Requirements "/>
    <s v="31st March 2020"/>
    <s v="HMRC have deferred this requirement until April 2021 due to Covid-19 (target date revised to reflect this)"/>
    <m/>
    <s v="On Track to be Achieved"/>
    <m/>
    <s v="Scheduled for implementation in Q3."/>
    <m/>
    <m/>
    <s v="On Track to be Achieved"/>
    <m/>
    <s v="The Making Tax Digital Module of Agresso was implemented this Quarter and the first VAT return submitted in accordance with the requirements."/>
    <m/>
    <m/>
    <s v="Fully Achieved"/>
    <m/>
    <m/>
    <m/>
    <s v="Fully Achieved"/>
    <m/>
    <m/>
    <s v="Sal Khan"/>
    <s v="FMU"/>
    <s v="Value for Money Council"/>
    <s v="Leader"/>
    <s v="Leader"/>
  </r>
  <r>
    <x v="11"/>
    <s v="VFM02"/>
    <s v="Continue to Improve Financial Resilience"/>
    <s v="Review compliance against CIPFA FM Code of Practice"/>
    <s v="December 2020"/>
    <m/>
    <m/>
    <s v="Not Yet Due"/>
    <m/>
    <m/>
    <m/>
    <m/>
    <s v="Not yet due"/>
    <m/>
    <s v="Review delayed due to impact of Covid-19 on staffing resources. Review to be completed as soon as feasible."/>
    <m/>
    <m/>
    <s v="Off Target"/>
    <m/>
    <m/>
    <m/>
    <s v="Update not provided"/>
    <m/>
    <m/>
    <s v="Sal Khan"/>
    <s v="FMU"/>
    <s v="Value for Money Council"/>
    <s v="Leader"/>
    <s v="Leader"/>
  </r>
  <r>
    <x v="11"/>
    <s v="VFM03"/>
    <s v="Continue to Improve Financial Resilience"/>
    <s v="Review and Refresh Financial Regulations"/>
    <s v="March 2021"/>
    <m/>
    <m/>
    <s v="Not Yet Due"/>
    <m/>
    <m/>
    <m/>
    <m/>
    <s v="Not yet due"/>
    <m/>
    <s v="Request deferral pending the refresh of the Contract Procedure Rules (see VFM04)"/>
    <m/>
    <m/>
    <s v="Not Yet Due"/>
    <m/>
    <m/>
    <m/>
    <s v="Update not provided"/>
    <m/>
    <m/>
    <s v="Sal Khan"/>
    <s v="FMU"/>
    <s v="Value for Money Council"/>
    <s v="Leader"/>
    <s v="Leader"/>
  </r>
  <r>
    <x v="11"/>
    <s v="VFM04"/>
    <s v="Continue to Improve Financial Resilience"/>
    <s v="Review and Refresh Contract Procedure Rules"/>
    <s v="March 2021"/>
    <m/>
    <m/>
    <s v="Not Yet Due"/>
    <m/>
    <m/>
    <m/>
    <m/>
    <s v="Not yet due"/>
    <m/>
    <s v="Request for deferral pending outcome of Green Paper in relation to Public Procurement Regulations"/>
    <m/>
    <m/>
    <s v="Not Yet Due"/>
    <m/>
    <m/>
    <m/>
    <s v="Update not provided"/>
    <m/>
    <m/>
    <s v="Sal Khan"/>
    <s v="FMU"/>
    <s v="Value for Money Council"/>
    <s v="Leader"/>
    <s v="Leader"/>
  </r>
  <r>
    <x v="11"/>
    <s v="VFM05"/>
    <s v="Continue to Improve Financial Resilience"/>
    <s v="Undertake a Procurement Exercise for the Council’s Insurance and related support"/>
    <s v="October 2020"/>
    <s v="Mini competition to appoint insurance broker and agreed process and timescales for procurement of insurer."/>
    <m/>
    <s v="On Track to be Achieved"/>
    <m/>
    <s v="Completed in Quarter 2."/>
    <m/>
    <m/>
    <s v="Fully Achieved"/>
    <m/>
    <m/>
    <m/>
    <m/>
    <s v="Fully Achieved"/>
    <m/>
    <m/>
    <m/>
    <s v="Fully Achieved"/>
    <m/>
    <m/>
    <s v="Sal Khan"/>
    <s v="FMU"/>
    <s v="Value for Money Council"/>
    <s v="Leader"/>
    <s v="Leader"/>
  </r>
  <r>
    <x v="0"/>
    <s v="VFM06"/>
    <s v="Continue to Improve Financial Resilience"/>
    <s v="Develop Procurement Policy  "/>
    <s v="June 2020"/>
    <s v="The newly developed Procurement Policy has been drafted. This will be considered further by senior officers and Members in July / August and is scheduled to be presented to Cabinet in September. There has been a slight delay in the Policy being approved due to additional pressures on resource arising from the COVID-19 situation."/>
    <m/>
    <s v="Off Target"/>
    <m/>
    <s v="The Procurement Policy was approved by Cabinet in September 2020. There was a slight delay in the policy being approved due to additional pressures on resource arising from the necessary response to the COVID-19 situation."/>
    <m/>
    <m/>
    <s v="Completed Behind Schedule"/>
    <m/>
    <m/>
    <m/>
    <m/>
    <s v="Completed Behind Schedule"/>
    <m/>
    <s v="Approved by Cabinet in September"/>
    <m/>
    <s v="Completed Significantly After Target Deadline"/>
    <m/>
    <m/>
    <s v="Sal Khan"/>
    <s v="Programmes &amp; Transformation"/>
    <s v="Value for Money Council"/>
    <s v="Leader"/>
    <s v="Leader"/>
  </r>
  <r>
    <x v="11"/>
    <s v="VFM07"/>
    <s v="Responding to Significant Local Government Finance Changes and Assessing the Impact on the Council’s Financial Position"/>
    <s v="Activities Throughout the Year Reported in Line with the Timed Responses "/>
    <s v="March 2021"/>
    <s v="Due to Covid-19 the government has announced the many of the expected reforms will be deferred.  Officers are monitoring developments and proactively engaging with Government in relation to developments in respect of additional funding in 2020/21 towards Covid-19 related pressures and also the approach to funding for 2021/22."/>
    <m/>
    <s v="On Track to be Achieved"/>
    <m/>
    <s v="Many of reforms delayed, however there remains uncertainty in relation to the New Homes Bonus Scheme and Business Rates Reset in respect of the settlement for 2021/22."/>
    <m/>
    <m/>
    <s v="On Track to be Achieved"/>
    <m/>
    <s v="Further announcements in relation to delays in respect of the proposed funding reforms due to the Covid-19 Pandemic.  Officers will continue to contribute to discussions in respect of future reforms either directly via consultations or indirectly through forums such as DCN, SDCT and SCFOG."/>
    <m/>
    <m/>
    <s v="On Track to be Achieved"/>
    <m/>
    <m/>
    <m/>
    <s v="Update not provided"/>
    <m/>
    <m/>
    <s v="Sal Khan"/>
    <s v="FMU"/>
    <s v="Value for Money Council"/>
    <s v="Leader"/>
    <s v="Leader"/>
  </r>
  <r>
    <x v="11"/>
    <s v="VFM08"/>
    <s v="Set the MTFS for 2021/22 onwards"/>
    <s v="Set Budget for Council Approval  "/>
    <s v="February 2021"/>
    <s v="Work to commence in Quarter 2."/>
    <m/>
    <s v="Not Yet Due"/>
    <m/>
    <s v="Planning Stage."/>
    <m/>
    <m/>
    <s v="On Track to be Achieved"/>
    <m/>
    <s v="The Leader and Chief Executive briefed on the overall financial outlook. Star Chamber Meetings held during December and the Provisional Financial Settlement received in December."/>
    <m/>
    <m/>
    <s v="On Track to be Achieved"/>
    <m/>
    <m/>
    <m/>
    <s v="Update not provided"/>
    <m/>
    <m/>
    <s v="Sal Khan"/>
    <s v="FMU"/>
    <s v="Value for Money Council"/>
    <s v="Leader"/>
    <s v="Leader"/>
  </r>
  <r>
    <x v="11"/>
    <s v="VFM09"/>
    <s v="Savings targets for 2020/21"/>
    <s v="Achieve Savings Targets as Stated in the Medium Term Financial Strategy "/>
    <s v="March 2021"/>
    <s v="Current forecast indicates that pressures arising from Covid-19 exceed the additional funding support from Government."/>
    <m/>
    <s v="Deleted"/>
    <m/>
    <s v="Target deleted as part of Q1 Review due to ongoing coronavirus situation"/>
    <s v="N/A"/>
    <s v="N/A"/>
    <s v="Deleted"/>
    <m/>
    <m/>
    <m/>
    <m/>
    <s v="Deleted"/>
    <m/>
    <m/>
    <m/>
    <s v="Deleted"/>
    <m/>
    <m/>
    <s v="Sal Khan"/>
    <s v="FMU"/>
    <s v="Value for Money Council"/>
    <s v="Leader"/>
    <s v="Leader"/>
  </r>
  <r>
    <x v="11"/>
    <s v="VFM10"/>
    <s v="Having an approved Statement of Accounts "/>
    <s v="Submit Statement of Accounts to Audit Committee by the earlier Statutory Deadline "/>
    <s v="30th November 2020"/>
    <s v="Statutory deadlines have been amended due to Covid-19.  This has been moved from 31st July to 30th November and the Council is currently working towards sign-off in September."/>
    <m/>
    <s v="On Track to be Achieved"/>
    <m/>
    <s v="Audited Accounts agreed by Approval of Statement of Accounts Committee, subject to finalisation of external audit particularly in relation to the Pension Fund Assurance from Staffordshire County Council's auditors."/>
    <m/>
    <m/>
    <s v="On Track to be Achieved"/>
    <m/>
    <s v="Statement of Accounts signed during November following delay due to the audit of the Pension Fund Accounts."/>
    <m/>
    <m/>
    <s v="Fully Achieved"/>
    <m/>
    <m/>
    <m/>
    <s v="Fully Achieved"/>
    <m/>
    <m/>
    <s v="Sal Khan"/>
    <s v="FMU"/>
    <s v="Value for Money Council"/>
    <s v="Leader"/>
    <s v="Leader"/>
  </r>
  <r>
    <x v="12"/>
    <s v="VFM11"/>
    <s v="Prepare for a Corporate ICT refresh"/>
    <s v="Commence Desktop Hardware Renewal"/>
    <s v="June 2020"/>
    <s v="Standard models identified, pilot group to deploy"/>
    <m/>
    <s v="Fully Achieved"/>
    <m/>
    <m/>
    <m/>
    <m/>
    <s v="Fully Achieved"/>
    <m/>
    <m/>
    <m/>
    <m/>
    <s v="Fully Achieved"/>
    <m/>
    <m/>
    <m/>
    <s v="Fully Achieved"/>
    <m/>
    <m/>
    <s v="Sal Khan"/>
    <s v="ICT"/>
    <s v="Value for Money Council"/>
    <s v="Leader"/>
    <s v="Leader"/>
  </r>
  <r>
    <x v="12"/>
    <s v="VFM12"/>
    <s v="Explore opportunities for shared service/income generation"/>
    <s v="Report on ICT income generation"/>
    <s v="June 2020"/>
    <s v="Discussions are ongoing with another District LA regarding how ESBC can provide professional support with their ICT Strategy, ICT architecture and service delivery. However scoping for this piece of work has been impacted by Covid-19 and it is anticipated that it will be finalised before the end of the year."/>
    <m/>
    <s v="Off Target"/>
    <m/>
    <s v="Support is being provided to another organisation regarding their future service delivery options. A report will be provided by the end of Q4."/>
    <m/>
    <m/>
    <s v="Off Target"/>
    <m/>
    <s v="Support is being provided to Oadby and Wigston Borough Council regarding their future service delivery options. A report will be provided by the end of quarter 4."/>
    <m/>
    <m/>
    <s v="Off Target"/>
    <m/>
    <m/>
    <m/>
    <s v="Update not provided"/>
    <m/>
    <m/>
    <s v="Sal Khan"/>
    <s v="ICT"/>
    <s v="Value for Money Council"/>
    <s v="Leader"/>
    <s v="Leader"/>
  </r>
  <r>
    <x v="13"/>
    <s v="VFM13"/>
    <s v="Continuing to digitise SMARTER services"/>
    <s v="Digital Strategy Refreshed and approved"/>
    <s v="October 2020"/>
    <s v="Development of the Strategy is underway and is expected to be approved in October."/>
    <m/>
    <s v="On Track to be Achieved"/>
    <m/>
    <s v="The strategy is expected to be approved by Cabinet in October"/>
    <m/>
    <m/>
    <s v="On Track to be Achieved"/>
    <m/>
    <s v="The Refreshed Digital Strategy was approved by Cabinet in October 2020."/>
    <m/>
    <m/>
    <s v="Fully Achieved"/>
    <m/>
    <m/>
    <m/>
    <s v="Fully Achieved"/>
    <m/>
    <m/>
    <s v="Sal Khan"/>
    <s v="Programmes &amp; Transformation"/>
    <s v="Value for Money Council"/>
    <s v="Leader"/>
    <s v="Leader"/>
  </r>
  <r>
    <x v="13"/>
    <s v="VFM14"/>
    <s v="Continuing to digitise SMARTER services"/>
    <s v="80% of revised Digital Strategy targets achieved "/>
    <s v="March 2021"/>
    <s v="Strategy due to be approved by October"/>
    <m/>
    <s v="Not Yet Due"/>
    <m/>
    <s v="The strategy is due to be approved in October."/>
    <m/>
    <m/>
    <s v="Not yet due"/>
    <m/>
    <s v="Work has commenced on the initiatives described in the strategy including the formation of strategic and operational digital groups."/>
    <m/>
    <m/>
    <s v="On Track to be Achieved"/>
    <m/>
    <m/>
    <m/>
    <s v="Update not provided"/>
    <m/>
    <m/>
    <s v="Sal Khan"/>
    <s v="Programmes &amp; Transformation"/>
    <s v="Value for Money Council"/>
    <s v="Leader"/>
    <s v="Leader"/>
  </r>
  <r>
    <x v="13"/>
    <s v="VFM15"/>
    <s v="Continuing to digitise SMARTER services"/>
    <s v="GeoPlaces Gold Standard in ESBC related categories"/>
    <s v="March 2021"/>
    <s v="Data is currently rated as 'Gold' in 6 out of 10 ESBC related categories, 2 categories are rated silver and 2 are rated as bronze. Due to revised  thresholds introduced every May, it was anticipated that some categories would be rated as bronze or silver, and it is expected that Gold will be achieved by year end in line with the target. "/>
    <m/>
    <s v="On Track to be Achieved"/>
    <m/>
    <s v="We are making progress towards our data being rated as Gold Standard and it is expected that we will achieve Gold by the end of the year in line with the current target. A new LLPG system is due to go live in October which will improve the management of the system."/>
    <m/>
    <m/>
    <s v="On Track to be Achieved"/>
    <m/>
    <s v="A new LLPG system went live in Q3 which is assisting the management of LLPG. Due to a GeoPlace platform upgrade we have not received a recent rating however officers continue to maintain and improve the data."/>
    <m/>
    <m/>
    <s v="On Track to be Achieved"/>
    <m/>
    <m/>
    <m/>
    <s v="Update not provided"/>
    <m/>
    <m/>
    <s v="Sal Khan"/>
    <s v="Programmes &amp; Transformation"/>
    <s v="Value for Money Council"/>
    <s v="Leader"/>
    <s v="Leader"/>
  </r>
  <r>
    <x v="0"/>
    <s v="VFM16"/>
    <s v="Improved Resilience Planning"/>
    <s v="Review of Rest Centres Complete"/>
    <s v="March 2021"/>
    <m/>
    <m/>
    <s v="Not Yet Due"/>
    <m/>
    <s v="Review to commence during Quarter 3 to align to Local Resilience Forum flood planning processes. "/>
    <m/>
    <m/>
    <s v="Not yet due"/>
    <m/>
    <s v="Work has commenced on the review, including considering: rest centre operation in a concurrent incident scenario; rest centre capacities and locations; and how locations overlay with flood risk areas."/>
    <m/>
    <m/>
    <s v="On Track to be Achieved"/>
    <m/>
    <m/>
    <m/>
    <s v="Update not provided"/>
    <m/>
    <m/>
    <s v="Sal Khan"/>
    <s v="Democratic Services &amp; Emergency Planning"/>
    <s v="Value for Money Council"/>
    <s v="Leader"/>
    <s v="Leader"/>
  </r>
  <r>
    <x v="0"/>
    <s v="VFM17"/>
    <s v="LGA Peer Review"/>
    <s v="Work with the LGA to deliver a peer review to another council/s to build up to hosting one in East Staffordshire"/>
    <s v="October 2020"/>
    <s v="It has been indicated to the Council that the Peer Review programme is not proceeding."/>
    <m/>
    <s v="Deleted"/>
    <m/>
    <s v="Target deleted as part of Q1 Review due to ongoing coronavirus situation"/>
    <s v="N/A"/>
    <s v="N/A"/>
    <s v="Deleted"/>
    <m/>
    <m/>
    <m/>
    <m/>
    <s v="Deleted"/>
    <m/>
    <m/>
    <m/>
    <s v="Deleted"/>
    <m/>
    <m/>
    <s v="Andy O'Brien"/>
    <s v="Programmes &amp; Transformation"/>
    <s v="Value for Money Council"/>
    <s v="Leader"/>
    <s v="Leader"/>
  </r>
  <r>
    <x v="14"/>
    <s v="VFM18a"/>
    <s v="Continue to Maximise Income Through Effective Collection Processes (Previously BVPI9) "/>
    <s v="Collection Rates of _x000a_         Council Tax : 98% "/>
    <m/>
    <n v="0.28699999999999998"/>
    <n v="0.98"/>
    <s v="On Track to be Achieved"/>
    <s v="Target is annual. Current collection is 0.9% down on the same period 2019/20. Formal recovery procedures are starting July 2020."/>
    <n v="0.56620000000000004"/>
    <n v="0.56620000000000004"/>
    <n v="0.98"/>
    <s v="In Danger of Falling Behind Target"/>
    <s v="Ctax collection is 0.38% down on our target for September but this is an improvement of 0.22% compared with the end of August."/>
    <n v="0.83979999999999999"/>
    <n v="0.83979999999999999"/>
    <n v="0.98"/>
    <s v="On Track to be Achieved"/>
    <s v="Target is annual."/>
    <m/>
    <m/>
    <s v="Update not provided"/>
    <m/>
    <m/>
    <s v="Sal Khan"/>
    <s v="Revenues, Benefits &amp; Customer Care"/>
    <s v="Value for Money Council"/>
    <s v="Environment &amp; Housing"/>
    <s v="Environment &amp; Housing"/>
  </r>
  <r>
    <x v="14"/>
    <s v="VFM18b"/>
    <s v="Continue to Maximise Income Through Effective Collection Processes (Previously BVPI10) "/>
    <s v="Collection Rates of _x000a_                  NNDR : 99%"/>
    <m/>
    <n v="0.25509999999999999"/>
    <n v="0.99"/>
    <s v="On Track to be Achieved"/>
    <s v="Target is annual. Current collection is 7.51% down on the same period 2019/20. Formal recovery procedures are starting July 2020."/>
    <n v="0.52690000000000003"/>
    <n v="0.52690000000000003"/>
    <n v="0.98"/>
    <s v="On Track to be Achieved"/>
    <s v="NDR collection is 7.31% down on our target for September, but this is an improvement of 1.62% compared with the end of August. Enforcement action will commence in November, as Liability Order hearings are being re-started. Target is annual and therefore we estimate collection to improve during the next few months."/>
    <s v="80.97%_x000a__x000a_Target is annual. Affected by COVID pandemic. However, indications are that performance should be achieved within 5% of the target figure, as current collection is 3.81% down on target figure for 31 December."/>
    <n v="0.80969999999999998"/>
    <n v="0.96"/>
    <s v="In Danger of Falling Behind Target"/>
    <m/>
    <m/>
    <m/>
    <s v="Update not provided"/>
    <m/>
    <m/>
    <s v="Sal Khan"/>
    <s v="Revenues, Benefits &amp; Customer Care"/>
    <s v="Value for Money Council"/>
    <s v="Environment &amp; Housing"/>
    <s v="Environment &amp; Housing"/>
  </r>
  <r>
    <x v="14"/>
    <s v="VFM19a"/>
    <s v="Continue to Maximise Income Through Effective Collection Processes: Reduce Former Years Arrears for Council Tax; NNDR; Sundry Debts"/>
    <s v="Former Years Arrears for Council Tax_x000a_£2,500,000 (net of credits, amounts on arrangement and identified write offs)"/>
    <m/>
    <n v="2220350.39"/>
    <n v="2000000"/>
    <s v="On Track to be Achieved"/>
    <s v="Target is annual. Formal recovery procedures are starting July 2020 following suspension during Covid-19 lockdown."/>
    <n v="2220063.52"/>
    <n v="2220063.52"/>
    <n v="2500000"/>
    <s v="On Track to be Achieved"/>
    <m/>
    <s v="£2,190,835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90835"/>
    <n v="2100000"/>
    <s v="On Track to be Achieved"/>
    <m/>
    <m/>
    <m/>
    <s v="Update not provided"/>
    <m/>
    <m/>
    <s v="Sal Khan"/>
    <s v="Revenues, Benefits &amp; Customer Care"/>
    <s v="Value for Money Council"/>
    <s v="Environment &amp; Housing"/>
    <s v="Environment &amp; Housing"/>
  </r>
  <r>
    <x v="14"/>
    <s v="VFM19b"/>
    <s v="Continue to Maximise Income Through Effective Collection Processes: Reduce Former Years Arrears for Council Tax; NNDR; Sundry Debts"/>
    <s v="Former Years Arrears for NNDR_x000a_£2,000,000 (net of credits, amounts on arrangement and identified write offs)"/>
    <m/>
    <n v="2155042.42"/>
    <n v="2000000"/>
    <s v="On Track to be Achieved"/>
    <s v="Target is annual. Formal recovery procedures are starting July 2020 following suspension during Covid-19 lockdown."/>
    <n v="2434472.23"/>
    <n v="2434472.23"/>
    <n v="2000000"/>
    <s v="On Track to be Achieved"/>
    <s v="Pre April 2020 (previous  years) charges raised since 1 April 2020 (current year) total £1.2m, of which £669k was raised in September. These debits are added to the arrears figures brought forward as at 31 March 2020 and change frequently."/>
    <s v="£2,140,037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40037"/>
    <n v="2000000"/>
    <s v="On Track to be Achieved"/>
    <m/>
    <m/>
    <m/>
    <s v="Update not provided"/>
    <m/>
    <m/>
    <s v="Sal Khan"/>
    <s v="Revenues, Benefits &amp; Customer Care"/>
    <s v="Value for Money Council"/>
    <s v="Environment &amp; Housing"/>
    <s v="Environment &amp; Housing"/>
  </r>
  <r>
    <x v="14"/>
    <s v="VFM19c"/>
    <s v="Continue to Maximise Income Through Effective Collection Processes: Reduce Former Years Arrears for Council Tax; NNDR; Sundry Debts"/>
    <s v="Current years arrears for sundry debts (older than 90 days)_x000a_£80,000 (net of credits, amounts on arrangement and identified write offs)"/>
    <m/>
    <n v="0"/>
    <n v="40000"/>
    <s v="On Track to be Achieved"/>
    <s v="Target is annual."/>
    <n v="34598.629999999997"/>
    <n v="34598.629999999997"/>
    <n v="80000"/>
    <s v="On Track to be Achieved"/>
    <m/>
    <s v="£74,606_x000a__x000a_Target is annual. Two invoices amounting to £42.5k remain on hold as per Legal Dept request."/>
    <n v="74606"/>
    <n v="80000"/>
    <s v="On Track to be Achieved"/>
    <m/>
    <m/>
    <m/>
    <s v="Update not provided"/>
    <m/>
    <m/>
    <s v="Sal Khan"/>
    <s v="Revenues, Benefits &amp; Customer Care"/>
    <s v="Value for Money Council"/>
    <s v="Environment &amp; Housing"/>
    <s v="Environment &amp; Housing"/>
  </r>
  <r>
    <x v="14"/>
    <s v="VFM20a"/>
    <s v="Maintaining excellent customer access to services with face-to-face and telephony enquiries"/>
    <s v="99% of CSC and Telephony Team Enquiries Resolved at First Point of Contact"/>
    <m/>
    <s v="None"/>
    <s v="n/a"/>
    <s v="Not Yet Due"/>
    <s v="The CSCs were closed on 23rd March due to lockdown restrictions imposed by Govt. No date has yet been agreed for their re-opening."/>
    <n v="0"/>
    <n v="0"/>
    <n v="0.99"/>
    <s v="On Track to be Achieved"/>
    <s v="Burton and Uttoxeter CSCs remain closed. However, Burton CSC will re-open on a reduced scale during October."/>
    <s v="100%_x000a__x000a_Burton CSC opened between 12 Oct and 5 Nov. Both CSCs remain closed for the time being."/>
    <n v="1"/>
    <n v="1"/>
    <s v="On Track to be Achieved"/>
    <m/>
    <m/>
    <m/>
    <s v="Update not provided"/>
    <m/>
    <m/>
    <s v="Sal Khan"/>
    <s v="Revenues, Benefits &amp; Customer Care"/>
    <s v="Value for Money Council"/>
    <s v="Environment &amp; Housing"/>
    <s v="Environment &amp; Housing"/>
  </r>
  <r>
    <x v="14"/>
    <s v="VFM20b"/>
    <s v="Maintaining excellent customer access to services with face-to-face and telephony enquiries"/>
    <s v="Minimum 75% Telephony Team Calls Answered Within 10 Seconds"/>
    <m/>
    <s v="79%_x000a__x000a_All services are being offered via telephone or online enquiries. High call volumes on Switchboard due to Waste changes (initial suspension of brown bin waste and re-introduction of bulky waste collections). Switchboard staff have now taken over calls from residents who are classified as Covid-19 vulnerable, and are being signposted to the relevant support agencies in partnership with the County Council."/>
    <n v="0.75"/>
    <s v="On Track to be Achieved"/>
    <m/>
    <n v="0.66"/>
    <n v="0.68"/>
    <n v="0.75"/>
    <s v="On Track to be Achieved"/>
    <s v="With the CSCs being closed since March, all services have been offered via telephone or online. Operators are also providing support to residents affected by Covid restrictions and isolation to ensure they can access food and support where necessary. "/>
    <s v="71%_x000a__x000a_Impact of Waste Management's crackdown on contaminated bins caused an increase in calls during Q3. Many of these calls were longer due to the dissatisfaction callers wished to express regarding the service. "/>
    <n v="0.76"/>
    <n v="0.75"/>
    <s v="On Track to be Achieved"/>
    <m/>
    <m/>
    <m/>
    <s v="Update not provided"/>
    <m/>
    <m/>
    <s v="Sal Khan"/>
    <s v="Revenues, Benefits &amp; Customer Care"/>
    <s v="Value for Money Council"/>
    <s v="Environment &amp; Housing"/>
    <s v="Environment &amp; Housing"/>
  </r>
  <r>
    <x v="14"/>
    <s v="VFM21"/>
    <s v="Continue to Improve the Ways We Provide Benefits to Those Most in Need:"/>
    <s v="Time Taken to Process Benefit New Claims and Change Events (Previously NI 181)_x000a_5 days"/>
    <m/>
    <s v="5.12 days_x000a__x000a_Claims processing has improved during June now that claims made as a result of the pandemic have reduced to normal levels. We anticipate the number of claims to increase over the coming months as the Govt's furlough scheme is pared back."/>
    <s v="5 days"/>
    <s v="On Track to be Achieved"/>
    <m/>
    <s v="4.25 days"/>
    <s v="4.76 days"/>
    <s v="5 days"/>
    <s v="On Track to be Achieved"/>
    <m/>
    <s v="4.18 days_x000a__x000a_Full case reviews have started under the DWPs Housing Benefit Accuracy Award initiative. This could impact future performance, depending on the number of cases DWP want us to review."/>
    <s v="4.57 days"/>
    <s v="5 days"/>
    <s v="On Track to be Achieved"/>
    <m/>
    <m/>
    <m/>
    <s v="Update not provided"/>
    <m/>
    <m/>
    <s v="Sal Khan"/>
    <s v="Revenues, Benefits &amp; Customer Care"/>
    <s v="Value for Money Council"/>
    <s v="Environment &amp; Housing"/>
    <s v="Environment &amp; Housing"/>
  </r>
  <r>
    <x v="14"/>
    <s v="VFM22ai"/>
    <s v="Working Towards the Reduction of Claimant Error Housing Benefit Overpayments (HBOPs)"/>
    <s v="% HBOPs recovered during the year; _x000a__x000a_90%"/>
    <m/>
    <n v="1.4525999999999999"/>
    <n v="0.8"/>
    <s v="On Track to be Achieved"/>
    <m/>
    <n v="1.9977"/>
    <n v="1.6981999999999999"/>
    <n v="1"/>
    <s v="On Track to be Achieved"/>
    <m/>
    <s v="142.8%_x000a__x000a_Further recovery action re-started in September following DWP relaxation of restrictions on deductions from ongoing benefits and HMRC providing employer information."/>
    <n v="1.5846"/>
    <n v="1.5"/>
    <s v="On Track to be Achieved"/>
    <m/>
    <m/>
    <m/>
    <s v="Update not provided"/>
    <m/>
    <m/>
    <s v="Sal Khan"/>
    <s v="Revenues, Benefits &amp; Customer Care"/>
    <s v="Value for Money Council"/>
    <s v="Environment &amp; Housing"/>
    <s v="Environment &amp; Housing"/>
  </r>
  <r>
    <x v="14"/>
    <s v="VFM22aii"/>
    <s v="Working Towards the Reduction of Claimant Error Housing Benefit Overpayments (HBOPs)"/>
    <s v=" % in year HBOPs recovered during the year;_x000a__x000a_70%"/>
    <m/>
    <n v="0.69"/>
    <n v="0.7"/>
    <s v="On Track to be Achieved"/>
    <m/>
    <n v="0.74299999999999999"/>
    <n v="0.47799999999999998"/>
    <n v="0.7"/>
    <s v="On Track to be Achieved"/>
    <s v="Direct Earnings Attachment processes have been re-opened by HMRC following lockdown. We await confirmation from DWP that they will resume collection via DWP benefits shortly."/>
    <s v="61.70%_x000a__x000a_Recovery of outstanding overpayments has been paused during this year due to the pandemic. Recovery from ongoing entitlement continued, but attachments to earnings and DDWP benefits were paused by DWP. The suspensions were lifted in November 2020 and we are now seeing increased collection. In December 2020 we collected 83% of the balances outstanding on the invoices raised that month."/>
    <n v="0.53859999999999997"/>
    <n v="0.6"/>
    <s v="In Danger of Falling Behind Target"/>
    <s v="Issue with Capita report not providing figures, which has been escalated as a fault."/>
    <m/>
    <m/>
    <s v="Update not provided"/>
    <m/>
    <m/>
    <s v="Sal Khan"/>
    <s v="Revenues, Benefits &amp; Customer Care"/>
    <s v="Value for Money Council"/>
    <s v="Environment &amp; Housing"/>
    <s v="Environment &amp; Housing"/>
  </r>
  <r>
    <x v="14"/>
    <s v="VFM22b"/>
    <s v="Working Towards the Reduction of Claimant Error Housing Benefit Overpayments (HBOPs)"/>
    <s v="% of HBOPS Processed and on Payment Arrangement; _x000a__x000a_90%"/>
    <m/>
    <n v="0.91"/>
    <n v="0.9"/>
    <s v="On Track to be Achieved"/>
    <m/>
    <n v="0.92400000000000004"/>
    <n v="0.91700000000000004"/>
    <n v="0.9"/>
    <s v="On Track to be Achieved"/>
    <m/>
    <s v="92.5%_x000a__x000a_Further recovery action re-started in September following DWP relaxation of restrictions on deductions from ongoing benefits and HMRC providing employer information."/>
    <n v="0.92"/>
    <n v="0.9"/>
    <s v="On Track to be Achieved"/>
    <m/>
    <m/>
    <m/>
    <s v="Update not provided"/>
    <m/>
    <m/>
    <s v="Sal Khan"/>
    <s v="Revenues, Benefits &amp; Customer Care"/>
    <s v="Value for Money Council"/>
    <s v="Environment &amp; Housing"/>
    <s v="Environment &amp; Housing"/>
  </r>
  <r>
    <x v="14"/>
    <s v="VFM23"/>
    <s v="Implement the new Business Rates Rate Relief policy"/>
    <s v="Revised Policy implemented "/>
    <s v="April 2020"/>
    <s v="Implemented 1st April 2020"/>
    <s v="n/a"/>
    <s v="Fully Achieved"/>
    <m/>
    <m/>
    <m/>
    <m/>
    <s v="Fully Achieved"/>
    <m/>
    <m/>
    <m/>
    <m/>
    <s v="Fully Achieved"/>
    <m/>
    <m/>
    <m/>
    <s v="Fully Achieved"/>
    <m/>
    <m/>
    <s v="Sal Khan"/>
    <s v="Revenues, Benefits &amp; Customer Care"/>
    <s v="Value for Money Council"/>
    <s v="Environment &amp; Housing"/>
    <s v="Environment &amp; Housing"/>
  </r>
  <r>
    <x v="14"/>
    <s v="VFM24"/>
    <s v="Prepare for Universal Credit Managed Migration  "/>
    <s v="Two Member Briefings"/>
    <s v="March 2021"/>
    <s v="Deferred to the next Corporate Plan year, as there is currently no indication that the necessary Government guidance will be received this year. "/>
    <m/>
    <s v="Deferred"/>
    <s v="We await further information from the DWP as to when Managed Migration is likely to be rolled out nationwide."/>
    <s v="Target deferred as part of Q1 Review due to ongoing coronavirus situation"/>
    <s v="N/A"/>
    <s v="N/A"/>
    <s v="Deferred"/>
    <m/>
    <s v="Target deferred as part of Q1 Review due to ongoing coronavirus situation"/>
    <m/>
    <m/>
    <s v="Deferred"/>
    <m/>
    <m/>
    <m/>
    <s v="Deferred"/>
    <m/>
    <m/>
    <s v="Sal Khan"/>
    <s v="Revenues, Benefits &amp; Customer Care"/>
    <s v="Value for Money Council"/>
    <s v="Environment &amp; Housing"/>
    <s v="Environment &amp; Housing"/>
  </r>
  <r>
    <x v="8"/>
    <s v="VFM25"/>
    <s v="Further Development of SMARTER working (Waste Collection)"/>
    <s v="Continue with SMARTER Waste Review Service _x000a_Two Update Reports with next steps"/>
    <s v="March 2021"/>
    <s v="Work is progressing with options for reviewing service delivery."/>
    <m/>
    <s v="On Track to be Achieved"/>
    <m/>
    <s v="Work has continued on the options for service delivery and a report will be submitted to Cabinet in December"/>
    <m/>
    <m/>
    <s v="On Track to be Achieved"/>
    <m/>
    <s v="External consultants appointed to provide an independent assessment of outsourcing, including a financial appraisal. Report now scheduled for Jan-21"/>
    <m/>
    <m/>
    <s v="On Track to be Achieved"/>
    <m/>
    <m/>
    <m/>
    <s v="Update not provided"/>
    <m/>
    <m/>
    <s v="Sal Khan"/>
    <s v="Environment"/>
    <s v="Value for Money Council"/>
    <s v="Environment &amp; Housing"/>
    <s v="Environment &amp; Housing"/>
  </r>
  <r>
    <x v="8"/>
    <s v="VFM26"/>
    <s v="Further Development of SMARTER working  (Street Cleaning)"/>
    <s v="Implement the SMARTER Street Cleaning Programme_x000a__x000a_Update report on IT Management System "/>
    <s v="March 2021"/>
    <m/>
    <m/>
    <s v="Not Yet Due"/>
    <m/>
    <s v="IT system installed and hardware for vehicles delivered to site. The next stage is to input baseline data and cleanse."/>
    <m/>
    <m/>
    <s v="On Track to be Achieved"/>
    <m/>
    <s v="Baseline data continues to be gathered and input into the system."/>
    <m/>
    <m/>
    <s v="On Track to be Achieved"/>
    <m/>
    <m/>
    <m/>
    <s v="Update not provided"/>
    <m/>
    <m/>
    <s v="Sal Khan"/>
    <s v="Environment"/>
    <s v="Value for Money Council"/>
    <s v="Environment &amp; Housing"/>
    <s v="Environment &amp; Housing"/>
  </r>
  <r>
    <x v="8"/>
    <s v="VFM27"/>
    <s v="Essential Procurement Activities"/>
    <s v="Dry Recycling Contract / Garden Waste Contract  Procurement commenced (Options Report)"/>
    <s v="June 2020"/>
    <s v="Options report approved by Cabinet in June 2020."/>
    <m/>
    <s v="Fully Achieved"/>
    <m/>
    <m/>
    <m/>
    <m/>
    <s v="Fully Achieved"/>
    <m/>
    <m/>
    <m/>
    <m/>
    <s v="Fully Achieved"/>
    <m/>
    <m/>
    <m/>
    <s v="Fully Achieved"/>
    <m/>
    <m/>
    <s v="Sal Khan"/>
    <s v="Environment"/>
    <s v="Value for Money Council"/>
    <s v="Environment &amp; Housing"/>
    <s v="Environment &amp; Housing"/>
  </r>
  <r>
    <x v="8"/>
    <s v="VFM28"/>
    <s v="Essential Procurement Activities"/>
    <s v="Vehicle Procurement concluded"/>
    <s v="November 2020"/>
    <s v="Contract documents being prepared for procurement. Timetable in place."/>
    <m/>
    <s v="On Track to be Achieved"/>
    <m/>
    <s v="Short delay to procurement timetable to enable Link Asset Services to undertake detailed appraisal of funding and vehicle options to ensure affordability, continued service delivery and climate change objectives. Cross party Member working group established to consider options and procurement timetable."/>
    <m/>
    <m/>
    <s v="In Danger of Falling Behind Target"/>
    <m/>
    <s v="Procurement concluded in December. Financial appraisal of the procurement options undertaken by external consultants to support decision. Report scheduled for January Cabinet. "/>
    <m/>
    <m/>
    <s v="Off Target"/>
    <m/>
    <m/>
    <m/>
    <s v="Update not provided"/>
    <m/>
    <m/>
    <s v="Sal Khan"/>
    <s v="Environment"/>
    <s v="Value for Money Council"/>
    <s v="Environment &amp; Housing"/>
    <s v="Environment &amp; Housing"/>
  </r>
  <r>
    <x v="8"/>
    <s v="VFM29"/>
    <s v="Minimise The Number Of Missed Bin Collections"/>
    <s v="Number Of Missed Bin Collections: Achieve 99.97% successful bin collections across the Borough "/>
    <s v="March 2021"/>
    <s v="99.97% successfully collected"/>
    <n v="99.97"/>
    <s v="On Track to be Achieved"/>
    <m/>
    <s v="99.97% successfully collected"/>
    <m/>
    <m/>
    <s v="On Track to be Achieved"/>
    <m/>
    <s v="99.97% successfully collected"/>
    <m/>
    <m/>
    <s v="On Track to be Achieved"/>
    <m/>
    <m/>
    <m/>
    <s v="Update not provided"/>
    <m/>
    <m/>
    <s v="Sal Khan"/>
    <s v="Environment"/>
    <s v="Value for Money Council"/>
    <s v="Environment &amp; Housing"/>
    <s v="Environment &amp; Housing"/>
  </r>
  <r>
    <x v="8"/>
    <s v="VFM30"/>
    <s v="Respond to Government Policy Announcements "/>
    <s v="Complete responses to Government consultations in line with consultation deadlines"/>
    <m/>
    <s v="COVID-19 has resulted in a delay in the Government publishing the next stage of consultations for the emerging Environment Bill. A revised timetable is yet to be confirmed."/>
    <m/>
    <s v="Not Yet Due"/>
    <m/>
    <s v="As reported in Q1, COVID-19 has resulted in a delay in the Government publishing the next stage of consultations for the emerging Environment Bill. A revised timetable is yet to be confirmed."/>
    <m/>
    <m/>
    <s v="Not yet due"/>
    <m/>
    <s v="Government has now indicated that the next round of consultations should be published in March/April 2021."/>
    <m/>
    <m/>
    <s v="Not Yet Due"/>
    <m/>
    <m/>
    <m/>
    <s v="Update not provided"/>
    <m/>
    <m/>
    <s v="Sal Khan"/>
    <s v="Environment"/>
    <s v="Value for Money Council"/>
    <s v="Environment &amp; Housing"/>
    <s v="Environment &amp; Housing"/>
  </r>
  <r>
    <x v="0"/>
    <s v="VFM31"/>
    <s v="Maintain Robust Mechanisms for Contract Managing the Leisure Service Arrangements"/>
    <s v="Report on the performance of the Leisure Operator on a quarterly basis"/>
    <m/>
    <s v="Detailed report on the performance of the Leisure Services contractor (Everyone Active) was presented to CMT, LDL, LAG, LOAG, IAAG and the AVFM Scrutiny Committee during May / June 2020."/>
    <m/>
    <s v="On Track to be Achieved"/>
    <m/>
    <s v="Detailed report on the performance of the Leisure Services contractor (Everyone Active) was presented to CMT, LDL, LAG, LOAG, IAAG and the AVFM Scrutiny Committee during August / September 2020."/>
    <m/>
    <m/>
    <s v="On Track to be Achieved"/>
    <m/>
    <s v="Detailed report on the performance of the Leisure Services contractor (Everyone Active) was presented to CMT, LDL, LAG, LOAG, IAAG and the AVFM Scrutiny Committee during November / December 2020."/>
    <m/>
    <m/>
    <s v="On Track to be Achieved"/>
    <m/>
    <m/>
    <m/>
    <s v="Update not provided"/>
    <m/>
    <m/>
    <s v="Mark Rizk"/>
    <s v="Leisure Services Contract"/>
    <s v="Value for Money Council"/>
    <s v="Leisure, Amenities &amp; Tourism"/>
    <s v="Leisure, Culture &amp; Tourism"/>
  </r>
  <r>
    <x v="0"/>
    <s v="VFM32"/>
    <s v="Review Strategic Sport and Leisure Approach in Line with Leisure Services Contract Arrangements"/>
    <s v="Undertake a follow-up benchmarking exercise supporting the delivery of the leisure operating contract "/>
    <s v="February 2021"/>
    <m/>
    <m/>
    <s v="Not Yet Due"/>
    <m/>
    <m/>
    <m/>
    <m/>
    <s v="Not yet due"/>
    <m/>
    <s v="Benchmarking work has commenced and is on track to be finalised in February 2021. Benchmarking work so far includes financial, operational and outcomes based considerations to support the ongoing contract management of the Leisure Services partnership. "/>
    <m/>
    <m/>
    <s v="On Track to be Achieved"/>
    <m/>
    <m/>
    <m/>
    <s v="Update not provided"/>
    <m/>
    <m/>
    <s v="Mark Rizk"/>
    <s v="Leisure Services Contract"/>
    <s v="Value for Money Council"/>
    <s v="Leisure, Amenities &amp; Tourism"/>
    <s v="Leisure, Culture &amp; Tourism"/>
  </r>
  <r>
    <x v="0"/>
    <s v="VFM33"/>
    <s v="Work with Leisure Operator to Continue to Provide High Quality Sports Facilities "/>
    <s v="Replace the Artificial Turf Pitch at Shobnall Leisure Complex"/>
    <s v="November 2020"/>
    <s v="Target deferred to the next Corporate Plan year, as the enforced closure of the facility has prevented the project from proceeding as planned so completion is now anticipated in 2021/22."/>
    <m/>
    <s v="Deferred"/>
    <m/>
    <s v="Target deferred as part of Q1 Review due to ongoing coronavirus situation"/>
    <s v="N/A"/>
    <s v="N/A"/>
    <s v="Deferred"/>
    <m/>
    <s v="Target deferred as part of Q1 Review due to ongoing coronavirus situation"/>
    <m/>
    <m/>
    <s v="Deferred"/>
    <m/>
    <m/>
    <m/>
    <s v="Deferred"/>
    <m/>
    <m/>
    <s v="Mark Rizk"/>
    <s v="Leisure Services Contract"/>
    <s v="Value for Money Council"/>
    <s v="Leisure, Amenities &amp; Tourism"/>
    <s v="Leisure, Culture &amp; Tourism"/>
  </r>
  <r>
    <x v="15"/>
    <s v="VFM34a"/>
    <s v="Improve Awareness of Council Services, Venues and Initiatives"/>
    <s v="Develop and communicate annual marketing plans for each leisure, culture and tourism service "/>
    <s v="April 2020"/>
    <s v="Each service has a specific Marketing Plan for 2020/21, although specific performance targets were unable to be added by the deadline due to COVID 19 uncertainties.  "/>
    <m/>
    <s v="Completed Behind Schedule"/>
    <m/>
    <m/>
    <m/>
    <m/>
    <s v="Completed Behind Schedule"/>
    <m/>
    <m/>
    <m/>
    <m/>
    <s v="Completed Behind Schedule"/>
    <m/>
    <m/>
    <m/>
    <s v="Completion Date Within Reasonable Tolerance"/>
    <m/>
    <m/>
    <s v="Mark Rizk"/>
    <s v="Marketing"/>
    <s v="Value for Money Council"/>
    <s v="Leisure, Amenities &amp; Tourism"/>
    <s v="Leisure, Culture &amp; Tourism"/>
  </r>
  <r>
    <x v="15"/>
    <s v="VFM34b"/>
    <s v="Improve Awareness of Council Services, Venues and Initiatives"/>
    <s v="Achieve 85% of these targets by year end"/>
    <s v="March 2021"/>
    <m/>
    <m/>
    <s v="Not Yet Due"/>
    <m/>
    <s v="A number of campaigns were launched in Q2:                                                Open Spaces 'Carry it in Carry it out'       Market Hall 'Be Your Own Boss'                         Brewhouse Reopening                                      Brewhouse 'At Home' virtual activities"/>
    <m/>
    <m/>
    <s v="Not yet due"/>
    <m/>
    <s v="Currently on target to exceed 85% by the end of the 2020/21 year."/>
    <m/>
    <m/>
    <s v="On Track to be Achieved"/>
    <m/>
    <m/>
    <m/>
    <s v="Update not provided"/>
    <m/>
    <m/>
    <s v="Mark Rizk"/>
    <s v="Marketing"/>
    <s v="Value for Money Council"/>
    <s v="Leisure, Amenities &amp; Tourism"/>
    <s v="Leisure, Culture &amp; Tourism"/>
  </r>
  <r>
    <x v="15"/>
    <s v="VFM35"/>
    <s v="Improve Awareness of Council Services, Venues and Initiatives"/>
    <s v="Attend and deliver a minimum of 5 events/outreach days (including Burton Market Place, Indoor shopping centres and Parks/open spaces etc.) to promote Council services in conjunction with partners."/>
    <s v="March 2021"/>
    <s v="No events or outreach days were organised in quarter 1 due to the Coronavirus outbreak. Due to the current conditions and social distancing, it's unknown if achieving this target will be possible in 2020/21  "/>
    <m/>
    <s v="In Danger of Falling Behind Target"/>
    <m/>
    <s v="No events or outreach days were organised or attended in quarter two due to the ongoing Coronavirus pandemic, although outreach promotions and activities are planned for quarter three."/>
    <m/>
    <m/>
    <s v="Not yet due"/>
    <m/>
    <s v="In quarter 3 we delivered a number of online activities and events to engage cultural audiences. We also engaged local residents and business in the 'StayLocal' campaign.  "/>
    <m/>
    <m/>
    <s v="On Track to be Achieved"/>
    <m/>
    <m/>
    <m/>
    <s v="Update not provided"/>
    <m/>
    <m/>
    <s v="Mark Rizk"/>
    <s v="Marketing"/>
    <s v="Value for Money Council"/>
    <s v="Leisure, Amenities &amp; Tourism"/>
    <s v="Leisure, Culture &amp; Tourism"/>
  </r>
  <r>
    <x v="4"/>
    <s v="VFM36"/>
    <s v="Procurement of Grounds Maintenance Contractor"/>
    <s v="Commence the process for the Grounds Maintenance contract retender"/>
    <s v="March 2021"/>
    <s v="Open Spaces and Procurement Teams have held initial discussions regarding the re-tendering of the contract."/>
    <m/>
    <s v="On Track to be Achieved"/>
    <m/>
    <s v="Procurement process to start from Qtr 3"/>
    <m/>
    <m/>
    <s v="On Track to be Achieved"/>
    <m/>
    <s v="Procurement process to start in quarter 4 with Procurement and Open Spaces Teams refining the specification and documentation in Q3 and early Q4."/>
    <m/>
    <m/>
    <s v="On Track to be Achieved"/>
    <m/>
    <m/>
    <m/>
    <s v="Update not provided"/>
    <m/>
    <m/>
    <s v="Mark Rizk"/>
    <s v="Communities, Open Spaces &amp; Facilities"/>
    <s v="Value for Money Council"/>
    <s v="Leisure, Amenities &amp; Tourism"/>
    <s v="Leisure, Culture &amp; Tourism"/>
  </r>
  <r>
    <x v="4"/>
    <s v="VFM37"/>
    <s v="Improving Energy Efficiency-Facility Developments"/>
    <s v="Review energy usage in Council owned buildings (e.g. Town Hall, Cemetery etc.) and investigate alternative energy sources."/>
    <s v="March 2021"/>
    <m/>
    <m/>
    <s v="Not Yet Due"/>
    <m/>
    <m/>
    <m/>
    <m/>
    <s v="Not yet due"/>
    <m/>
    <s v="Data available on energy usage and research completed on various energy sources. Report with recommendations to be completed in early Q4 in preparation for consideration by Cabinet."/>
    <m/>
    <m/>
    <s v="On Track to be Achieved"/>
    <m/>
    <m/>
    <m/>
    <s v="Update not provided"/>
    <m/>
    <m/>
    <s v="Mark Rizk"/>
    <s v="Communities, Open Spaces &amp; Facilities"/>
    <s v="Value for Money Council"/>
    <s v="Leisure, Amenities &amp; Tourism"/>
    <s v="Leisure, Culture &amp; Tourism"/>
  </r>
  <r>
    <x v="16"/>
    <s v="VFM38"/>
    <s v="Brewhouse, Arts and Town Hall Developments "/>
    <s v="Complete the implementation of a new service delivery model."/>
    <s v="March 2021"/>
    <s v="Awaiting outcome of current situation with COVID-19 and current closure of venues -before reviewing future strategy of service - it will be unlikely that this is known before the end of the year"/>
    <m/>
    <s v="Not Yet Due"/>
    <m/>
    <s v="With the re-opening of venues and COVID-Secure delivery starting to take place, as well as a better understanding of long term impact and funding available as result of COVID-19, work on new service delivery model has begun. In addition, the complimentary plans and proposals provided through the Stronger Towns work will also need to be factored in to the long term service delivery approach."/>
    <m/>
    <m/>
    <s v="Not yet due"/>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16"/>
    <s v="VFM39"/>
    <s v="Brewhouse, Arts and Town Hall Developments"/>
    <s v="New Brewhouse, Arts and Town Hall service strategy document completed"/>
    <s v="October 2020"/>
    <s v="Awaiting outcome of current situation with COVID-19 before reviewing future strategy of service - it will be unlikely that this is known before the end of the year"/>
    <m/>
    <s v="In Danger of Falling Behind Target"/>
    <m/>
    <s v="Draft strategy complete and shared with HoS. The strategy will feed into the new service delivery plans as described in VFM38."/>
    <m/>
    <m/>
    <s v="On Track to be Achieved"/>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5"/>
    <s v="VFM40"/>
    <s v="Continue to develop SMARTER working practices for Planning"/>
    <s v="Two reports identifying reviews, changes and improvements"/>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1"/>
    <s v="Continue to develop SMARTER working practices for Planning"/>
    <s v="Electronic Document Management System Review and recommendation"/>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2"/>
    <s v="Continuing to inform and improve Planning awareness with Members"/>
    <s v="At least 2 briefings delivered to elected members during the year "/>
    <m/>
    <s v="Planning Committee Members have received training at the June 2020 Committee. Full Member training will be delivered on the forthcoming Planning White paper"/>
    <m/>
    <s v="On Track to be Achieved"/>
    <m/>
    <s v="Full Member briefing took place on 12th October. "/>
    <m/>
    <m/>
    <s v="On Track to be Achieved"/>
    <m/>
    <s v="A briefing on the planning white paper was held in October"/>
    <m/>
    <m/>
    <s v="On Track to be Achieved"/>
    <m/>
    <m/>
    <m/>
    <s v="Update not provided"/>
    <m/>
    <m/>
    <s v="Sal Khan"/>
    <s v="Planning"/>
    <s v="Value for Money Council"/>
    <s v="Regeneration &amp; Planning Policy"/>
    <s v="Regeneration &amp; Planning Policy"/>
  </r>
  <r>
    <x v="5"/>
    <s v="VFM43"/>
    <s v="Continuing to inform and improve Planning awareness with Members"/>
    <s v="Targeted Planning Committee Briefings - 10 throughout the year"/>
    <m/>
    <s v="Planning Committee Members have received training at the June 2020 Committee. A full programme of training is scheduled for the year. Viability training took place at June meeting. National Forest are scheduled for July and transport for August."/>
    <m/>
    <s v="On Track to be Achieved"/>
    <m/>
    <s v="6 briefings have taken place in 2020 to date "/>
    <m/>
    <m/>
    <s v="On Track to be Achieved"/>
    <m/>
    <n v="6"/>
    <m/>
    <m/>
    <s v="On Track to be Achieved"/>
    <m/>
    <m/>
    <m/>
    <s v="Update not provided"/>
    <m/>
    <m/>
    <s v="Sal Khan"/>
    <s v="Planning"/>
    <s v="Value for Money Council"/>
    <s v="Regeneration &amp; Planning Policy"/>
    <s v="Regeneration &amp; Planning Policy"/>
  </r>
  <r>
    <x v="5"/>
    <s v="VFM44"/>
    <s v="Monitor Local Plan Performance "/>
    <s v="Authority Monitoring Report  Prepared"/>
    <s v="December 2020"/>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5"/>
    <s v="VFM45"/>
    <s v="Monitor Local Plan Performance "/>
    <s v="Consider review of the Local Plan"/>
    <s v="October 2020"/>
    <s v="In progress. "/>
    <m/>
    <s v="On Track to be Achieved"/>
    <m/>
    <s v="Report going to full council on 19th October "/>
    <m/>
    <m/>
    <s v="On Track to be Achieved"/>
    <m/>
    <s v="Reported to Full Council on 19th October 2020"/>
    <m/>
    <m/>
    <s v="Fully Achieved"/>
    <m/>
    <m/>
    <m/>
    <s v="Fully Achieved"/>
    <m/>
    <m/>
    <s v="Sal Khan"/>
    <s v="Planning"/>
    <s v="Value for Money Council"/>
    <s v="Regeneration &amp; Planning Policy"/>
    <s v="Regeneration &amp; Planning Policy"/>
  </r>
  <r>
    <x v="5"/>
    <s v="VFM46"/>
    <s v="New and Refreshed Planning Policies"/>
    <s v="Prepare and publish Infrastructure Funding Statement "/>
    <s v="January 2021"/>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17"/>
    <s v="VFM47"/>
    <s v="Review of the Council’s CCTV Provision "/>
    <s v="Preparation of tender documentation for the CCTV Contract Renewal Completed"/>
    <s v="January 2021"/>
    <s v="Discussions have begun with the project team and external auditor to facilitate this target"/>
    <m/>
    <s v="On Track to be Achieved"/>
    <m/>
    <s v="Initial meeting held to begin looking at documents but on hold pending report for Council"/>
    <m/>
    <m/>
    <s v="On Track to be Achieved"/>
    <m/>
    <s v="The prep of tender documents is currently delayed due to a review of the CCTV provision"/>
    <m/>
    <m/>
    <s v="In Danger of Falling Behind Target"/>
    <m/>
    <m/>
    <m/>
    <s v="Update not provided"/>
    <m/>
    <m/>
    <s v="Mark Rizk"/>
    <s v="Communities &amp; Open Spaces"/>
    <s v="Value for Money Council"/>
    <s v="Community &amp; Regulatory Services"/>
    <s v="Regulatory &amp; Community Support"/>
  </r>
  <r>
    <x v="17"/>
    <s v="VFM48"/>
    <s v="Review of the Council’s CCTV Provision "/>
    <s v="Develop a Code of Practice for the use of Mobile CCTV Camera"/>
    <s v="September 2020"/>
    <s v="Work has begun on the Code of Practice and a sample will be sent to the external auditor for comment"/>
    <m/>
    <s v="On Track to be Achieved"/>
    <m/>
    <s v="Completed to be attached to CCTV report"/>
    <m/>
    <m/>
    <s v="On Track to be Achieved"/>
    <m/>
    <s v="Code of Practice (working procedure for officers) has been produce and is currently being used"/>
    <m/>
    <m/>
    <s v="Fully Achieved"/>
    <m/>
    <m/>
    <m/>
    <s v="Fully Achieved"/>
    <m/>
    <m/>
    <s v="Mark Rizk"/>
    <s v="Civil Enforcement"/>
    <s v="Value for Money Council"/>
    <s v="Community &amp; Regulatory Services"/>
    <s v="Regulatory &amp; Community Support"/>
  </r>
  <r>
    <x v="17"/>
    <s v="VFM49"/>
    <s v="Improvements for the Hackney Carriage and Private Hire Service"/>
    <s v="Improvement Plan Completed"/>
    <s v="February 2021"/>
    <s v="·         Work has begun on a review of the Hackney Carriage Tariff. A sample tariff has been submitted by the trade. Safeguarding Training has been sourced however is on hold until restrictions are released as we need large volumes of drivers to attend each session in order to keep costs low. Verbal/Oral test has been implemented and applicants are being able to be assessed. Medicals are currently on hold due to the pandemic and our inability for drivers to have medicals with doctors. DBS service implemented and being utilised._x000a_·         Safeguarding training for all Private Hire and Hackney Carriage Drivers_x000a_·         The introduction of a formal Verbal Test for new applicants for a Private Hire and Hackney Carriage Drivers Licence and Operators._x000a_·         Also to propose recommendations for Medicals for Private Hire and Hackney Carriage Drivers and_x000a_·         Introduce the DBS update service for Private Hire and Hackney Carriage Drivers and Operators "/>
    <m/>
    <s v="On Track to be Achieved"/>
    <s v="On target however there will be certain restrictions due to the pandemic"/>
    <s v="• A review of the Hackney Carriage Tariff - report prepared for CMT. Confirmation now received that the meter calibration companies are able to calibrate meters. Awaiting confirmation front testing stations that they are able to test Hackneys on rolling road._x000a_• A review of the Taxi ranks within in the Borough i.e. location and size etc - initial work has begun on where ranks are, what could  be deleted and new ranks implemented subject to consultation with the county council._x000a_• Safeguarding training for all Private Hire and Hackney Carriage Drivers - contact has been made again to begin this process at reduced capacity. Licensing Officers are just awaiting confirmation of costs. _x000a_• The introduction of a formal Verbal Test for new applicants for a Private Hire and Hackney Carriage Drivers Licence as well as Operators.- Implemented_x000a_• Also to propose recommendations for Medicals for Private Hire and Hackney Carriage Drivers and - Implemented we have now confirmed that All Saints Surgery are able to offer driver medicals to applicants. _x000a_• Introduce the Disclosure and Barring Service (DBS) update service for Private Hire and Hackney Carriage Drivers and Operators - Implemented."/>
    <m/>
    <m/>
    <s v="On Track to be Achieved"/>
    <m/>
    <s v="All areas are currently on target to be achieved."/>
    <m/>
    <m/>
    <s v="On Track to be Achieved"/>
    <m/>
    <m/>
    <m/>
    <s v="Update not provided"/>
    <m/>
    <m/>
    <s v="Mark Rizk"/>
    <s v="Licensing"/>
    <s v="Value for Money Council"/>
    <s v="Community &amp; Regulatory Services"/>
    <s v="Regulatory &amp; Community Suppor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C18" firstHeaderRow="1" firstDataRow="1" firstDataCol="0"/>
  <pivotFields count="29">
    <pivotField showAll="0">
      <items count="19">
        <item x="3"/>
        <item x="7"/>
        <item x="10"/>
        <item x="16"/>
        <item x="13"/>
        <item x="12"/>
        <item x="0"/>
        <item x="2"/>
        <item x="11"/>
        <item x="17"/>
        <item x="4"/>
        <item x="5"/>
        <item x="15"/>
        <item x="1"/>
        <item x="8"/>
        <item x="9"/>
        <item x="1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rewhouse.co.uk/" TargetMode="External"/><Relationship Id="rId1" Type="http://schemas.openxmlformats.org/officeDocument/2006/relationships/hyperlink" Target="https://discovereaststaffordshire.com/tourism-development-grant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79"/>
  <sheetViews>
    <sheetView tabSelected="1" zoomScale="80" zoomScaleNormal="80" workbookViewId="0">
      <pane xSplit="5" ySplit="2" topLeftCell="V94" activePane="bottomRight" state="frozen"/>
      <selection pane="topRight" activeCell="F1" sqref="F1"/>
      <selection pane="bottomLeft" activeCell="A3" sqref="A3"/>
      <selection pane="bottomRight" activeCell="AK94" sqref="AK94"/>
    </sheetView>
  </sheetViews>
  <sheetFormatPr defaultColWidth="9.28515625" defaultRowHeight="97.9" customHeight="1"/>
  <cols>
    <col min="1" max="1" width="15.7109375" style="240" customWidth="1"/>
    <col min="2" max="2" width="12.42578125" style="230" customWidth="1"/>
    <col min="3" max="4" width="26.140625" style="229" customWidth="1"/>
    <col min="5" max="5" width="23.5703125" style="235" bestFit="1" customWidth="1"/>
    <col min="6" max="6" width="51.28515625" style="299" customWidth="1"/>
    <col min="7" max="7" width="18.5703125" style="299" hidden="1" customWidth="1"/>
    <col min="8" max="8" width="18.5703125" style="230" customWidth="1"/>
    <col min="9" max="9" width="32.42578125" style="229" customWidth="1"/>
    <col min="10" max="10" width="56.28515625" style="229" customWidth="1"/>
    <col min="11" max="11" width="16" style="229" hidden="1" customWidth="1"/>
    <col min="12" max="12" width="18.42578125" style="229" hidden="1" customWidth="1"/>
    <col min="13" max="13" width="18.5703125" style="229" customWidth="1"/>
    <col min="14" max="14" width="25.85546875" style="229" customWidth="1"/>
    <col min="15" max="15" width="57.7109375" style="229" customWidth="1"/>
    <col min="16" max="16" width="18.42578125" style="229" customWidth="1"/>
    <col min="17" max="18" width="18.5703125" style="229" customWidth="1"/>
    <col min="19" max="19" width="57.42578125" style="229" customWidth="1"/>
    <col min="20" max="20" width="57.85546875" style="229" customWidth="1"/>
    <col min="21" max="22" width="18.5703125" style="229" customWidth="1"/>
    <col min="23" max="23" width="48.28515625" style="229" customWidth="1"/>
    <col min="24" max="24" width="8.28515625" style="230" hidden="1" customWidth="1"/>
    <col min="25" max="25" width="19.5703125" style="229" hidden="1" customWidth="1"/>
    <col min="26" max="27" width="20.42578125" style="240" hidden="1" customWidth="1"/>
    <col min="28" max="28" width="19.5703125" style="229" hidden="1" customWidth="1"/>
    <col min="29" max="29" width="5.7109375" style="229" hidden="1" customWidth="1"/>
    <col min="30" max="30" width="5.5703125" style="229" hidden="1" customWidth="1"/>
    <col min="31" max="31" width="8.7109375" style="229" hidden="1" customWidth="1"/>
    <col min="32" max="32" width="6.7109375" style="229" hidden="1" customWidth="1"/>
    <col min="33" max="33" width="4.7109375" style="229" hidden="1" customWidth="1"/>
    <col min="34" max="34" width="7.85546875" style="229" hidden="1" customWidth="1"/>
    <col min="35" max="35" width="12.28515625" style="229" hidden="1" customWidth="1"/>
    <col min="36" max="36" width="18.7109375" style="230" hidden="1" customWidth="1"/>
    <col min="37" max="37" width="71.28515625" style="274" customWidth="1"/>
    <col min="38" max="16384" width="9.28515625" style="274"/>
  </cols>
  <sheetData>
    <row r="1" spans="1:38" s="263" customFormat="1" ht="33.6" customHeight="1">
      <c r="A1" s="243"/>
      <c r="B1" s="243" t="s">
        <v>116</v>
      </c>
      <c r="C1" s="244"/>
      <c r="D1" s="244"/>
      <c r="E1" s="322"/>
      <c r="F1" s="400" t="s">
        <v>117</v>
      </c>
      <c r="G1" s="400"/>
      <c r="H1" s="400"/>
      <c r="I1" s="400"/>
      <c r="J1" s="400" t="s">
        <v>597</v>
      </c>
      <c r="K1" s="400"/>
      <c r="L1" s="400"/>
      <c r="M1" s="400"/>
      <c r="N1" s="400"/>
      <c r="O1" s="401" t="s">
        <v>751</v>
      </c>
      <c r="P1" s="401"/>
      <c r="Q1" s="401"/>
      <c r="R1" s="401"/>
      <c r="S1" s="401"/>
      <c r="T1" s="402" t="s">
        <v>753</v>
      </c>
      <c r="U1" s="402"/>
      <c r="V1" s="402"/>
      <c r="W1" s="402"/>
      <c r="X1" s="245"/>
      <c r="Y1" s="244"/>
      <c r="Z1" s="246"/>
      <c r="AA1" s="246"/>
      <c r="AB1" s="244"/>
      <c r="AC1" s="403" t="s">
        <v>416</v>
      </c>
      <c r="AD1" s="404"/>
      <c r="AE1" s="405"/>
      <c r="AF1" s="397" t="s">
        <v>416</v>
      </c>
      <c r="AG1" s="398"/>
      <c r="AH1" s="398"/>
      <c r="AI1" s="399"/>
      <c r="AJ1" s="262"/>
    </row>
    <row r="2" spans="1:38" s="267" customFormat="1" ht="61.9" customHeight="1" thickBot="1">
      <c r="A2" s="238" t="s">
        <v>17</v>
      </c>
      <c r="B2" s="236" t="s">
        <v>108</v>
      </c>
      <c r="C2" s="236" t="s">
        <v>205</v>
      </c>
      <c r="D2" s="236" t="s">
        <v>118</v>
      </c>
      <c r="E2" s="237" t="s">
        <v>18</v>
      </c>
      <c r="F2" s="264" t="s">
        <v>485</v>
      </c>
      <c r="G2" s="264" t="s">
        <v>111</v>
      </c>
      <c r="H2" s="264" t="s">
        <v>19</v>
      </c>
      <c r="I2" s="264" t="s">
        <v>20</v>
      </c>
      <c r="J2" s="264" t="s">
        <v>595</v>
      </c>
      <c r="K2" s="264" t="s">
        <v>596</v>
      </c>
      <c r="L2" s="264" t="s">
        <v>112</v>
      </c>
      <c r="M2" s="264" t="s">
        <v>36</v>
      </c>
      <c r="N2" s="264" t="s">
        <v>37</v>
      </c>
      <c r="O2" s="301" t="s">
        <v>749</v>
      </c>
      <c r="P2" s="301" t="s">
        <v>750</v>
      </c>
      <c r="Q2" s="301" t="s">
        <v>113</v>
      </c>
      <c r="R2" s="301" t="s">
        <v>38</v>
      </c>
      <c r="S2" s="301" t="s">
        <v>39</v>
      </c>
      <c r="T2" s="334" t="s">
        <v>752</v>
      </c>
      <c r="U2" s="334" t="s">
        <v>114</v>
      </c>
      <c r="V2" s="334" t="s">
        <v>79</v>
      </c>
      <c r="W2" s="334" t="s">
        <v>40</v>
      </c>
      <c r="X2" s="231" t="s">
        <v>11</v>
      </c>
      <c r="Y2" s="238" t="s">
        <v>10</v>
      </c>
      <c r="Z2" s="238" t="s">
        <v>16</v>
      </c>
      <c r="AA2" s="238" t="s">
        <v>62</v>
      </c>
      <c r="AB2" s="237" t="s">
        <v>9</v>
      </c>
      <c r="AC2" s="265"/>
      <c r="AD2" s="324" t="s">
        <v>587</v>
      </c>
      <c r="AE2" s="324"/>
      <c r="AF2" s="323" t="s">
        <v>590</v>
      </c>
      <c r="AG2" s="323" t="s">
        <v>572</v>
      </c>
      <c r="AH2" s="323" t="s">
        <v>201</v>
      </c>
      <c r="AI2" s="323" t="s">
        <v>467</v>
      </c>
      <c r="AJ2" s="266" t="s">
        <v>115</v>
      </c>
    </row>
    <row r="3" spans="1:38" ht="168" customHeight="1" thickBot="1">
      <c r="A3" s="239" t="s">
        <v>107</v>
      </c>
      <c r="B3" s="258" t="s">
        <v>218</v>
      </c>
      <c r="C3" s="247" t="s">
        <v>219</v>
      </c>
      <c r="D3" s="248" t="s">
        <v>220</v>
      </c>
      <c r="E3" s="249" t="s">
        <v>221</v>
      </c>
      <c r="F3" s="268" t="s">
        <v>533</v>
      </c>
      <c r="G3" s="268"/>
      <c r="H3" s="269" t="s">
        <v>31</v>
      </c>
      <c r="I3" s="270"/>
      <c r="J3" s="275" t="s">
        <v>634</v>
      </c>
      <c r="K3" s="271"/>
      <c r="L3" s="272"/>
      <c r="M3" s="269" t="s">
        <v>22</v>
      </c>
      <c r="N3" s="270"/>
      <c r="O3" s="273" t="s">
        <v>634</v>
      </c>
      <c r="P3" s="273"/>
      <c r="Q3" s="328"/>
      <c r="R3" s="269" t="s">
        <v>22</v>
      </c>
      <c r="S3" s="270"/>
      <c r="T3" s="360" t="s">
        <v>915</v>
      </c>
      <c r="U3" s="359"/>
      <c r="V3" s="361" t="s">
        <v>22</v>
      </c>
      <c r="W3" s="362"/>
      <c r="X3" s="353"/>
      <c r="Y3" s="354" t="s">
        <v>201</v>
      </c>
      <c r="Z3" s="354" t="s">
        <v>384</v>
      </c>
      <c r="AA3" s="354" t="s">
        <v>404</v>
      </c>
      <c r="AB3" s="354" t="s">
        <v>202</v>
      </c>
      <c r="AC3" s="354" t="s">
        <v>572</v>
      </c>
      <c r="AD3" s="354"/>
      <c r="AE3" s="354"/>
      <c r="AF3" s="355"/>
      <c r="AG3" s="355" t="s">
        <v>591</v>
      </c>
      <c r="AH3" s="355"/>
      <c r="AI3" s="355"/>
      <c r="AJ3" s="356">
        <v>7</v>
      </c>
      <c r="AK3" s="356"/>
      <c r="AL3" s="356"/>
    </row>
    <row r="4" spans="1:38" ht="168" customHeight="1" thickBot="1">
      <c r="A4" s="239" t="s">
        <v>107</v>
      </c>
      <c r="B4" s="258" t="s">
        <v>222</v>
      </c>
      <c r="C4" s="247" t="s">
        <v>219</v>
      </c>
      <c r="D4" s="248" t="s">
        <v>223</v>
      </c>
      <c r="E4" s="249">
        <v>45352</v>
      </c>
      <c r="F4" s="268" t="s">
        <v>573</v>
      </c>
      <c r="G4" s="268"/>
      <c r="H4" s="269" t="s">
        <v>31</v>
      </c>
      <c r="I4" s="270"/>
      <c r="J4" s="271" t="s">
        <v>635</v>
      </c>
      <c r="K4" s="271"/>
      <c r="L4" s="272"/>
      <c r="M4" s="269" t="s">
        <v>31</v>
      </c>
      <c r="N4" s="270"/>
      <c r="O4" s="273" t="s">
        <v>771</v>
      </c>
      <c r="P4" s="273"/>
      <c r="Q4" s="328"/>
      <c r="R4" s="269" t="s">
        <v>22</v>
      </c>
      <c r="S4" s="270"/>
      <c r="T4" s="360" t="s">
        <v>916</v>
      </c>
      <c r="U4" s="359"/>
      <c r="V4" s="361" t="s">
        <v>22</v>
      </c>
      <c r="W4" s="362"/>
      <c r="X4" s="363"/>
      <c r="Y4" s="354" t="s">
        <v>201</v>
      </c>
      <c r="Z4" s="354" t="s">
        <v>385</v>
      </c>
      <c r="AA4" s="354" t="s">
        <v>404</v>
      </c>
      <c r="AB4" s="354" t="s">
        <v>202</v>
      </c>
      <c r="AC4" s="354" t="s">
        <v>572</v>
      </c>
      <c r="AD4" s="354"/>
      <c r="AE4" s="354"/>
      <c r="AF4" s="355"/>
      <c r="AG4" s="355" t="s">
        <v>591</v>
      </c>
      <c r="AH4" s="355"/>
      <c r="AI4" s="355"/>
      <c r="AJ4" s="356">
        <v>8</v>
      </c>
      <c r="AK4" s="356"/>
      <c r="AL4" s="356"/>
    </row>
    <row r="5" spans="1:38" ht="168" customHeight="1" thickBot="1">
      <c r="A5" s="239" t="s">
        <v>107</v>
      </c>
      <c r="B5" s="258" t="s">
        <v>224</v>
      </c>
      <c r="C5" s="247" t="s">
        <v>219</v>
      </c>
      <c r="D5" s="248" t="s">
        <v>225</v>
      </c>
      <c r="E5" s="249" t="s">
        <v>226</v>
      </c>
      <c r="F5" s="268" t="s">
        <v>545</v>
      </c>
      <c r="G5" s="268"/>
      <c r="H5" s="269" t="s">
        <v>31</v>
      </c>
      <c r="I5" s="270" t="s">
        <v>546</v>
      </c>
      <c r="J5" s="277" t="s">
        <v>636</v>
      </c>
      <c r="K5" s="276"/>
      <c r="L5" s="277"/>
      <c r="M5" s="269" t="s">
        <v>31</v>
      </c>
      <c r="N5" s="278"/>
      <c r="O5" s="273" t="s">
        <v>764</v>
      </c>
      <c r="P5" s="273"/>
      <c r="Q5" s="328"/>
      <c r="R5" s="269" t="s">
        <v>22</v>
      </c>
      <c r="S5" s="278"/>
      <c r="T5" s="336" t="s">
        <v>916</v>
      </c>
      <c r="U5" s="357"/>
      <c r="V5" s="361" t="s">
        <v>22</v>
      </c>
      <c r="W5" s="358"/>
      <c r="X5" s="363"/>
      <c r="Y5" s="354" t="s">
        <v>201</v>
      </c>
      <c r="Z5" s="354" t="s">
        <v>384</v>
      </c>
      <c r="AA5" s="354" t="s">
        <v>404</v>
      </c>
      <c r="AB5" s="354" t="s">
        <v>202</v>
      </c>
      <c r="AC5" s="354" t="s">
        <v>572</v>
      </c>
      <c r="AD5" s="354"/>
      <c r="AE5" s="354"/>
      <c r="AF5" s="355"/>
      <c r="AG5" s="355" t="s">
        <v>591</v>
      </c>
      <c r="AH5" s="355"/>
      <c r="AI5" s="355"/>
      <c r="AJ5" s="356">
        <v>9</v>
      </c>
      <c r="AK5" s="356"/>
      <c r="AL5" s="356"/>
    </row>
    <row r="6" spans="1:38" ht="168" customHeight="1" thickBot="1">
      <c r="A6" s="239" t="s">
        <v>107</v>
      </c>
      <c r="B6" s="258" t="s">
        <v>227</v>
      </c>
      <c r="C6" s="247" t="s">
        <v>228</v>
      </c>
      <c r="D6" s="248" t="s">
        <v>229</v>
      </c>
      <c r="E6" s="249">
        <v>45170</v>
      </c>
      <c r="F6" s="268" t="s">
        <v>526</v>
      </c>
      <c r="G6" s="268"/>
      <c r="H6" s="269" t="s">
        <v>31</v>
      </c>
      <c r="I6" s="270" t="s">
        <v>527</v>
      </c>
      <c r="J6" s="276" t="s">
        <v>637</v>
      </c>
      <c r="K6" s="276"/>
      <c r="L6" s="277"/>
      <c r="M6" s="269" t="s">
        <v>22</v>
      </c>
      <c r="N6" s="278"/>
      <c r="O6" s="273" t="s">
        <v>772</v>
      </c>
      <c r="P6" s="273"/>
      <c r="Q6" s="328"/>
      <c r="R6" s="269" t="s">
        <v>22</v>
      </c>
      <c r="S6" s="278"/>
      <c r="T6" s="336" t="s">
        <v>915</v>
      </c>
      <c r="U6" s="357"/>
      <c r="V6" s="361" t="s">
        <v>22</v>
      </c>
      <c r="W6" s="358"/>
      <c r="X6" s="363"/>
      <c r="Y6" s="354" t="s">
        <v>201</v>
      </c>
      <c r="Z6" s="354" t="s">
        <v>384</v>
      </c>
      <c r="AA6" s="354" t="s">
        <v>404</v>
      </c>
      <c r="AB6" s="354" t="s">
        <v>202</v>
      </c>
      <c r="AC6" s="354" t="s">
        <v>572</v>
      </c>
      <c r="AD6" s="354" t="s">
        <v>201</v>
      </c>
      <c r="AE6" s="354" t="s">
        <v>467</v>
      </c>
      <c r="AF6" s="355"/>
      <c r="AG6" s="355" t="s">
        <v>591</v>
      </c>
      <c r="AH6" s="355" t="s">
        <v>591</v>
      </c>
      <c r="AI6" s="355"/>
      <c r="AJ6" s="356">
        <v>10</v>
      </c>
      <c r="AK6" s="356"/>
      <c r="AL6" s="356"/>
    </row>
    <row r="7" spans="1:38" ht="168" customHeight="1" thickBot="1">
      <c r="A7" s="239" t="s">
        <v>107</v>
      </c>
      <c r="B7" s="258" t="s">
        <v>280</v>
      </c>
      <c r="C7" s="247" t="s">
        <v>281</v>
      </c>
      <c r="D7" s="248" t="s">
        <v>534</v>
      </c>
      <c r="E7" s="253" t="s">
        <v>282</v>
      </c>
      <c r="F7" s="268"/>
      <c r="G7" s="268"/>
      <c r="H7" s="269" t="s">
        <v>35</v>
      </c>
      <c r="I7" s="270"/>
      <c r="J7" s="271" t="s">
        <v>639</v>
      </c>
      <c r="K7" s="271"/>
      <c r="L7" s="272"/>
      <c r="M7" s="269" t="s">
        <v>22</v>
      </c>
      <c r="N7" s="270"/>
      <c r="O7" s="338" t="s">
        <v>917</v>
      </c>
      <c r="P7" s="273"/>
      <c r="Q7" s="328"/>
      <c r="R7" s="269" t="s">
        <v>22</v>
      </c>
      <c r="S7" s="270"/>
      <c r="T7" s="364" t="s">
        <v>915</v>
      </c>
      <c r="U7" s="359"/>
      <c r="V7" s="361" t="s">
        <v>22</v>
      </c>
      <c r="W7" s="362"/>
      <c r="X7" s="353"/>
      <c r="Y7" s="354" t="s">
        <v>201</v>
      </c>
      <c r="Z7" s="354" t="s">
        <v>384</v>
      </c>
      <c r="AA7" s="354" t="s">
        <v>407</v>
      </c>
      <c r="AB7" s="354" t="s">
        <v>202</v>
      </c>
      <c r="AC7" s="354" t="s">
        <v>572</v>
      </c>
      <c r="AD7" s="354"/>
      <c r="AE7" s="354"/>
      <c r="AF7" s="355"/>
      <c r="AG7" s="355" t="s">
        <v>591</v>
      </c>
      <c r="AH7" s="355"/>
      <c r="AI7" s="355"/>
      <c r="AJ7" s="356">
        <v>34</v>
      </c>
      <c r="AK7" s="356"/>
      <c r="AL7" s="356"/>
    </row>
    <row r="8" spans="1:38" ht="168" customHeight="1" thickBot="1">
      <c r="A8" s="239" t="s">
        <v>107</v>
      </c>
      <c r="B8" s="258" t="s">
        <v>283</v>
      </c>
      <c r="C8" s="247" t="s">
        <v>281</v>
      </c>
      <c r="D8" s="248" t="s">
        <v>284</v>
      </c>
      <c r="E8" s="253">
        <v>45352</v>
      </c>
      <c r="F8" s="268"/>
      <c r="G8" s="268"/>
      <c r="H8" s="269" t="s">
        <v>35</v>
      </c>
      <c r="I8" s="270"/>
      <c r="J8" s="279" t="s">
        <v>638</v>
      </c>
      <c r="K8" s="271"/>
      <c r="L8" s="272"/>
      <c r="M8" s="269" t="s">
        <v>31</v>
      </c>
      <c r="N8" s="270"/>
      <c r="O8" s="273" t="s">
        <v>765</v>
      </c>
      <c r="P8" s="273"/>
      <c r="Q8" s="328"/>
      <c r="R8" s="269" t="s">
        <v>31</v>
      </c>
      <c r="S8" s="270"/>
      <c r="T8" s="348" t="s">
        <v>882</v>
      </c>
      <c r="U8" s="359"/>
      <c r="V8" s="361" t="s">
        <v>22</v>
      </c>
      <c r="W8" s="349" t="s">
        <v>883</v>
      </c>
      <c r="X8" s="363"/>
      <c r="Y8" s="354" t="s">
        <v>201</v>
      </c>
      <c r="Z8" s="354" t="s">
        <v>384</v>
      </c>
      <c r="AA8" s="354" t="s">
        <v>407</v>
      </c>
      <c r="AB8" s="354" t="s">
        <v>202</v>
      </c>
      <c r="AC8" s="354" t="s">
        <v>572</v>
      </c>
      <c r="AD8" s="354"/>
      <c r="AE8" s="354"/>
      <c r="AF8" s="355"/>
      <c r="AG8" s="355" t="s">
        <v>591</v>
      </c>
      <c r="AH8" s="355"/>
      <c r="AI8" s="355"/>
      <c r="AJ8" s="356">
        <v>35</v>
      </c>
      <c r="AK8" s="356"/>
      <c r="AL8" s="356"/>
    </row>
    <row r="9" spans="1:38" ht="168" customHeight="1" thickBot="1">
      <c r="A9" s="239" t="s">
        <v>107</v>
      </c>
      <c r="B9" s="258" t="s">
        <v>285</v>
      </c>
      <c r="C9" s="247" t="s">
        <v>281</v>
      </c>
      <c r="D9" s="248" t="s">
        <v>286</v>
      </c>
      <c r="E9" s="249">
        <v>45108</v>
      </c>
      <c r="F9" s="268" t="s">
        <v>548</v>
      </c>
      <c r="G9" s="268"/>
      <c r="H9" s="269" t="s">
        <v>31</v>
      </c>
      <c r="I9" s="282" t="s">
        <v>547</v>
      </c>
      <c r="J9" s="344" t="s">
        <v>547</v>
      </c>
      <c r="K9" s="271"/>
      <c r="L9" s="272"/>
      <c r="M9" s="269" t="s">
        <v>22</v>
      </c>
      <c r="N9" s="270"/>
      <c r="O9" s="273" t="s">
        <v>772</v>
      </c>
      <c r="P9" s="273"/>
      <c r="Q9" s="328"/>
      <c r="R9" s="269" t="s">
        <v>22</v>
      </c>
      <c r="S9" s="270"/>
      <c r="T9" s="364"/>
      <c r="U9" s="359"/>
      <c r="V9" s="361" t="s">
        <v>22</v>
      </c>
      <c r="W9" s="362"/>
      <c r="X9" s="363"/>
      <c r="Y9" s="354" t="s">
        <v>201</v>
      </c>
      <c r="Z9" s="354" t="s">
        <v>384</v>
      </c>
      <c r="AA9" s="354" t="s">
        <v>407</v>
      </c>
      <c r="AB9" s="354" t="s">
        <v>202</v>
      </c>
      <c r="AC9" s="354" t="s">
        <v>572</v>
      </c>
      <c r="AD9" s="354"/>
      <c r="AE9" s="354"/>
      <c r="AF9" s="355"/>
      <c r="AG9" s="355" t="s">
        <v>591</v>
      </c>
      <c r="AH9" s="355"/>
      <c r="AI9" s="355"/>
      <c r="AJ9" s="356">
        <v>36</v>
      </c>
      <c r="AK9" s="356"/>
      <c r="AL9" s="356"/>
    </row>
    <row r="10" spans="1:38" ht="168" customHeight="1" thickBot="1">
      <c r="A10" s="239" t="s">
        <v>107</v>
      </c>
      <c r="B10" s="258" t="s">
        <v>301</v>
      </c>
      <c r="C10" s="247" t="s">
        <v>8</v>
      </c>
      <c r="D10" s="248" t="s">
        <v>159</v>
      </c>
      <c r="E10" s="249">
        <v>45261</v>
      </c>
      <c r="F10" s="268" t="s">
        <v>535</v>
      </c>
      <c r="G10" s="268"/>
      <c r="H10" s="269" t="s">
        <v>31</v>
      </c>
      <c r="I10" s="272"/>
      <c r="J10" s="281" t="s">
        <v>640</v>
      </c>
      <c r="K10" s="280"/>
      <c r="L10" s="280"/>
      <c r="M10" s="269" t="s">
        <v>31</v>
      </c>
      <c r="N10" s="270"/>
      <c r="O10" s="281" t="s">
        <v>766</v>
      </c>
      <c r="P10" s="326"/>
      <c r="Q10" s="280"/>
      <c r="R10" s="269" t="s">
        <v>22</v>
      </c>
      <c r="S10" s="270"/>
      <c r="T10" s="365"/>
      <c r="U10" s="366"/>
      <c r="V10" s="361" t="s">
        <v>22</v>
      </c>
      <c r="W10" s="367"/>
      <c r="X10" s="363"/>
      <c r="Y10" s="354" t="s">
        <v>201</v>
      </c>
      <c r="Z10" s="354" t="s">
        <v>384</v>
      </c>
      <c r="AA10" s="354" t="s">
        <v>412</v>
      </c>
      <c r="AB10" s="354" t="s">
        <v>202</v>
      </c>
      <c r="AC10" s="354" t="s">
        <v>201</v>
      </c>
      <c r="AD10" s="354" t="s">
        <v>572</v>
      </c>
      <c r="AE10" s="354"/>
      <c r="AF10" s="355"/>
      <c r="AG10" s="355" t="s">
        <v>591</v>
      </c>
      <c r="AH10" s="355" t="s">
        <v>591</v>
      </c>
      <c r="AI10" s="355"/>
      <c r="AJ10" s="356">
        <v>45</v>
      </c>
      <c r="AK10" s="356"/>
      <c r="AL10" s="356"/>
    </row>
    <row r="11" spans="1:38" ht="168" customHeight="1" thickBot="1">
      <c r="A11" s="239" t="s">
        <v>107</v>
      </c>
      <c r="B11" s="258" t="s">
        <v>302</v>
      </c>
      <c r="C11" s="247" t="s">
        <v>133</v>
      </c>
      <c r="D11" s="248" t="s">
        <v>94</v>
      </c>
      <c r="E11" s="249">
        <v>45231</v>
      </c>
      <c r="F11" s="268" t="s">
        <v>536</v>
      </c>
      <c r="G11" s="268"/>
      <c r="H11" s="269" t="s">
        <v>31</v>
      </c>
      <c r="I11" s="270"/>
      <c r="J11" s="306"/>
      <c r="K11" s="326"/>
      <c r="L11" s="280"/>
      <c r="M11" s="269" t="s">
        <v>31</v>
      </c>
      <c r="N11" s="270"/>
      <c r="O11" s="329" t="s">
        <v>767</v>
      </c>
      <c r="P11" s="326"/>
      <c r="Q11" s="280"/>
      <c r="R11" s="269" t="s">
        <v>22</v>
      </c>
      <c r="S11" s="278"/>
      <c r="T11" s="365" t="s">
        <v>916</v>
      </c>
      <c r="U11" s="366"/>
      <c r="V11" s="361" t="s">
        <v>22</v>
      </c>
      <c r="W11" s="358"/>
      <c r="X11" s="363"/>
      <c r="Y11" s="354" t="s">
        <v>201</v>
      </c>
      <c r="Z11" s="354" t="s">
        <v>384</v>
      </c>
      <c r="AA11" s="354" t="s">
        <v>412</v>
      </c>
      <c r="AB11" s="354" t="s">
        <v>202</v>
      </c>
      <c r="AC11" s="354" t="s">
        <v>467</v>
      </c>
      <c r="AD11" s="354" t="s">
        <v>201</v>
      </c>
      <c r="AE11" s="354"/>
      <c r="AF11" s="355"/>
      <c r="AG11" s="355"/>
      <c r="AH11" s="355" t="s">
        <v>591</v>
      </c>
      <c r="AI11" s="355" t="s">
        <v>591</v>
      </c>
      <c r="AJ11" s="356">
        <v>46</v>
      </c>
      <c r="AK11" s="356"/>
      <c r="AL11" s="356"/>
    </row>
    <row r="12" spans="1:38" ht="168" customHeight="1" thickBot="1">
      <c r="A12" s="239" t="s">
        <v>107</v>
      </c>
      <c r="B12" s="258" t="s">
        <v>303</v>
      </c>
      <c r="C12" s="247" t="s">
        <v>133</v>
      </c>
      <c r="D12" s="248" t="s">
        <v>95</v>
      </c>
      <c r="E12" s="249">
        <v>45323</v>
      </c>
      <c r="F12" s="268"/>
      <c r="G12" s="268"/>
      <c r="H12" s="269" t="s">
        <v>35</v>
      </c>
      <c r="I12" s="270"/>
      <c r="J12" s="283"/>
      <c r="K12" s="284"/>
      <c r="L12" s="304"/>
      <c r="M12" s="269" t="s">
        <v>35</v>
      </c>
      <c r="N12" s="270"/>
      <c r="O12" s="273" t="s">
        <v>773</v>
      </c>
      <c r="P12" s="273"/>
      <c r="Q12" s="328"/>
      <c r="R12" s="269" t="s">
        <v>31</v>
      </c>
      <c r="S12" s="270"/>
      <c r="T12" s="368" t="s">
        <v>884</v>
      </c>
      <c r="U12" s="351"/>
      <c r="V12" s="361" t="s">
        <v>22</v>
      </c>
      <c r="W12" s="362"/>
      <c r="X12" s="353"/>
      <c r="Y12" s="354" t="s">
        <v>201</v>
      </c>
      <c r="Z12" s="354" t="s">
        <v>384</v>
      </c>
      <c r="AA12" s="354" t="s">
        <v>412</v>
      </c>
      <c r="AB12" s="354" t="s">
        <v>202</v>
      </c>
      <c r="AC12" s="354" t="s">
        <v>201</v>
      </c>
      <c r="AD12" s="354" t="s">
        <v>467</v>
      </c>
      <c r="AE12" s="354"/>
      <c r="AF12" s="355"/>
      <c r="AG12" s="355"/>
      <c r="AH12" s="355" t="s">
        <v>591</v>
      </c>
      <c r="AI12" s="355" t="s">
        <v>591</v>
      </c>
      <c r="AJ12" s="356">
        <v>47</v>
      </c>
      <c r="AK12" s="356"/>
      <c r="AL12" s="356"/>
    </row>
    <row r="13" spans="1:38" ht="168" customHeight="1" thickBot="1">
      <c r="A13" s="239" t="s">
        <v>107</v>
      </c>
      <c r="B13" s="258" t="s">
        <v>304</v>
      </c>
      <c r="C13" s="247" t="s">
        <v>8</v>
      </c>
      <c r="D13" s="248" t="s">
        <v>80</v>
      </c>
      <c r="E13" s="249" t="s">
        <v>134</v>
      </c>
      <c r="F13" s="268" t="s">
        <v>528</v>
      </c>
      <c r="G13" s="268" t="s">
        <v>529</v>
      </c>
      <c r="H13" s="269" t="s">
        <v>31</v>
      </c>
      <c r="I13" s="270"/>
      <c r="J13" s="271" t="s">
        <v>649</v>
      </c>
      <c r="K13" s="271" t="s">
        <v>650</v>
      </c>
      <c r="L13" s="272" t="s">
        <v>529</v>
      </c>
      <c r="M13" s="269" t="s">
        <v>31</v>
      </c>
      <c r="N13" s="270"/>
      <c r="O13" s="273" t="s">
        <v>774</v>
      </c>
      <c r="P13" s="273" t="s">
        <v>768</v>
      </c>
      <c r="Q13" s="328" t="s">
        <v>529</v>
      </c>
      <c r="R13" s="269" t="s">
        <v>31</v>
      </c>
      <c r="S13" s="270"/>
      <c r="T13" s="348" t="s">
        <v>885</v>
      </c>
      <c r="U13" s="347" t="s">
        <v>768</v>
      </c>
      <c r="V13" s="361" t="s">
        <v>22</v>
      </c>
      <c r="W13" s="362"/>
      <c r="X13" s="363"/>
      <c r="Y13" s="354" t="s">
        <v>201</v>
      </c>
      <c r="Z13" s="354" t="s">
        <v>384</v>
      </c>
      <c r="AA13" s="354" t="s">
        <v>412</v>
      </c>
      <c r="AB13" s="354" t="s">
        <v>202</v>
      </c>
      <c r="AC13" s="354" t="s">
        <v>572</v>
      </c>
      <c r="AD13" s="354" t="s">
        <v>467</v>
      </c>
      <c r="AE13" s="354"/>
      <c r="AF13" s="355"/>
      <c r="AG13" s="355" t="s">
        <v>591</v>
      </c>
      <c r="AH13" s="355"/>
      <c r="AI13" s="355" t="s">
        <v>591</v>
      </c>
      <c r="AJ13" s="356">
        <v>48</v>
      </c>
      <c r="AK13" s="356"/>
      <c r="AL13" s="356"/>
    </row>
    <row r="14" spans="1:38" ht="168" customHeight="1" thickBot="1">
      <c r="A14" s="239" t="s">
        <v>107</v>
      </c>
      <c r="B14" s="258" t="s">
        <v>305</v>
      </c>
      <c r="C14" s="247" t="s">
        <v>8</v>
      </c>
      <c r="D14" s="248" t="s">
        <v>86</v>
      </c>
      <c r="E14" s="249" t="s">
        <v>134</v>
      </c>
      <c r="F14" s="268" t="s">
        <v>532</v>
      </c>
      <c r="G14" s="268" t="s">
        <v>531</v>
      </c>
      <c r="H14" s="269" t="s">
        <v>31</v>
      </c>
      <c r="I14" s="270" t="s">
        <v>530</v>
      </c>
      <c r="J14" s="271" t="s">
        <v>651</v>
      </c>
      <c r="K14" s="271" t="s">
        <v>652</v>
      </c>
      <c r="L14" s="272" t="s">
        <v>653</v>
      </c>
      <c r="M14" s="269" t="s">
        <v>31</v>
      </c>
      <c r="N14" s="270"/>
      <c r="O14" s="273" t="s">
        <v>769</v>
      </c>
      <c r="P14" s="273" t="s">
        <v>770</v>
      </c>
      <c r="Q14" s="328" t="s">
        <v>653</v>
      </c>
      <c r="R14" s="269" t="s">
        <v>31</v>
      </c>
      <c r="S14" s="270" t="s">
        <v>775</v>
      </c>
      <c r="T14" s="348" t="s">
        <v>886</v>
      </c>
      <c r="U14" s="347" t="s">
        <v>887</v>
      </c>
      <c r="V14" s="361" t="s">
        <v>22</v>
      </c>
      <c r="W14" s="362"/>
      <c r="X14" s="363"/>
      <c r="Y14" s="354" t="s">
        <v>201</v>
      </c>
      <c r="Z14" s="354" t="s">
        <v>384</v>
      </c>
      <c r="AA14" s="354" t="s">
        <v>412</v>
      </c>
      <c r="AB14" s="354" t="s">
        <v>202</v>
      </c>
      <c r="AC14" s="354" t="s">
        <v>572</v>
      </c>
      <c r="AD14" s="354" t="s">
        <v>467</v>
      </c>
      <c r="AE14" s="354"/>
      <c r="AF14" s="355"/>
      <c r="AG14" s="355" t="s">
        <v>591</v>
      </c>
      <c r="AH14" s="355"/>
      <c r="AI14" s="355" t="s">
        <v>591</v>
      </c>
      <c r="AJ14" s="356">
        <v>49</v>
      </c>
      <c r="AK14" s="356"/>
      <c r="AL14" s="356"/>
    </row>
    <row r="15" spans="1:38" ht="168" customHeight="1" thickBot="1">
      <c r="A15" s="239" t="s">
        <v>715</v>
      </c>
      <c r="B15" s="258" t="s">
        <v>369</v>
      </c>
      <c r="C15" s="247" t="s">
        <v>176</v>
      </c>
      <c r="D15" s="248" t="s">
        <v>177</v>
      </c>
      <c r="E15" s="249">
        <v>45261</v>
      </c>
      <c r="F15" s="268" t="s">
        <v>504</v>
      </c>
      <c r="G15" s="268"/>
      <c r="H15" s="269" t="s">
        <v>31</v>
      </c>
      <c r="I15" s="270"/>
      <c r="J15" s="271" t="s">
        <v>605</v>
      </c>
      <c r="K15" s="271"/>
      <c r="L15" s="272"/>
      <c r="M15" s="269" t="s">
        <v>31</v>
      </c>
      <c r="N15" s="270"/>
      <c r="O15" s="273" t="s">
        <v>776</v>
      </c>
      <c r="P15" s="273"/>
      <c r="Q15" s="328"/>
      <c r="R15" s="269" t="s">
        <v>22</v>
      </c>
      <c r="S15" s="270"/>
      <c r="T15" s="369" t="s">
        <v>776</v>
      </c>
      <c r="U15" s="359"/>
      <c r="V15" s="361" t="s">
        <v>22</v>
      </c>
      <c r="W15" s="362"/>
      <c r="X15" s="363"/>
      <c r="Y15" s="354" t="s">
        <v>833</v>
      </c>
      <c r="Z15" s="354" t="s">
        <v>401</v>
      </c>
      <c r="AA15" s="354" t="s">
        <v>412</v>
      </c>
      <c r="AB15" s="354" t="s">
        <v>204</v>
      </c>
      <c r="AC15" s="354" t="s">
        <v>467</v>
      </c>
      <c r="AD15" s="354"/>
      <c r="AE15" s="354"/>
      <c r="AF15" s="355"/>
      <c r="AG15" s="355"/>
      <c r="AH15" s="355"/>
      <c r="AI15" s="355" t="s">
        <v>591</v>
      </c>
      <c r="AJ15" s="356">
        <v>113</v>
      </c>
      <c r="AK15" s="356"/>
      <c r="AL15" s="356"/>
    </row>
    <row r="16" spans="1:38" ht="168" customHeight="1" thickBot="1">
      <c r="A16" s="239" t="s">
        <v>715</v>
      </c>
      <c r="B16" s="258" t="s">
        <v>370</v>
      </c>
      <c r="C16" s="247" t="s">
        <v>176</v>
      </c>
      <c r="D16" s="248" t="s">
        <v>99</v>
      </c>
      <c r="E16" s="249">
        <v>45352</v>
      </c>
      <c r="F16" s="268">
        <v>4.33</v>
      </c>
      <c r="G16" s="268">
        <v>4.5</v>
      </c>
      <c r="H16" s="269" t="s">
        <v>31</v>
      </c>
      <c r="I16" s="270" t="s">
        <v>503</v>
      </c>
      <c r="J16" s="271">
        <v>4.13</v>
      </c>
      <c r="K16" s="271">
        <v>4.24</v>
      </c>
      <c r="L16" s="272">
        <v>4.5</v>
      </c>
      <c r="M16" s="269" t="s">
        <v>31</v>
      </c>
      <c r="N16" s="270" t="s">
        <v>606</v>
      </c>
      <c r="O16" s="273" t="s">
        <v>777</v>
      </c>
      <c r="P16" s="273"/>
      <c r="Q16" s="328"/>
      <c r="R16" s="269" t="s">
        <v>31</v>
      </c>
      <c r="S16" s="270"/>
      <c r="T16" s="348" t="s">
        <v>855</v>
      </c>
      <c r="U16" s="359"/>
      <c r="V16" s="361" t="s">
        <v>22</v>
      </c>
      <c r="W16" s="362"/>
      <c r="X16" s="363"/>
      <c r="Y16" s="354" t="s">
        <v>833</v>
      </c>
      <c r="Z16" s="354" t="s">
        <v>401</v>
      </c>
      <c r="AA16" s="354" t="s">
        <v>412</v>
      </c>
      <c r="AB16" s="354" t="s">
        <v>204</v>
      </c>
      <c r="AC16" s="354" t="s">
        <v>467</v>
      </c>
      <c r="AD16" s="354"/>
      <c r="AE16" s="354"/>
      <c r="AF16" s="355"/>
      <c r="AG16" s="355"/>
      <c r="AH16" s="355"/>
      <c r="AI16" s="355" t="s">
        <v>591</v>
      </c>
      <c r="AJ16" s="356">
        <v>114</v>
      </c>
      <c r="AK16" s="356"/>
      <c r="AL16" s="356"/>
    </row>
    <row r="17" spans="1:38" ht="168" customHeight="1" thickBot="1">
      <c r="A17" s="239" t="s">
        <v>715</v>
      </c>
      <c r="B17" s="258" t="s">
        <v>438</v>
      </c>
      <c r="C17" s="247" t="s">
        <v>178</v>
      </c>
      <c r="D17" s="248" t="s">
        <v>441</v>
      </c>
      <c r="E17" s="249">
        <v>45352</v>
      </c>
      <c r="F17" s="296">
        <v>2577027.66</v>
      </c>
      <c r="G17" s="297" t="s">
        <v>516</v>
      </c>
      <c r="H17" s="269" t="s">
        <v>31</v>
      </c>
      <c r="I17" s="270" t="s">
        <v>517</v>
      </c>
      <c r="J17" s="271" t="s">
        <v>645</v>
      </c>
      <c r="K17" s="314">
        <v>6696596.8899999997</v>
      </c>
      <c r="L17" s="314">
        <v>6696596.8899999997</v>
      </c>
      <c r="M17" s="269" t="s">
        <v>31</v>
      </c>
      <c r="N17" s="270" t="s">
        <v>646</v>
      </c>
      <c r="O17" s="273" t="s">
        <v>778</v>
      </c>
      <c r="P17" s="273" t="s">
        <v>838</v>
      </c>
      <c r="Q17" s="297" t="s">
        <v>516</v>
      </c>
      <c r="R17" s="269" t="s">
        <v>31</v>
      </c>
      <c r="S17" s="270"/>
      <c r="T17" s="370">
        <v>2470549.62</v>
      </c>
      <c r="U17" s="359"/>
      <c r="V17" s="361" t="s">
        <v>22</v>
      </c>
      <c r="W17" s="348" t="s">
        <v>889</v>
      </c>
      <c r="X17" s="353"/>
      <c r="Y17" s="354" t="s">
        <v>833</v>
      </c>
      <c r="Z17" s="354" t="s">
        <v>401</v>
      </c>
      <c r="AA17" s="354" t="s">
        <v>412</v>
      </c>
      <c r="AB17" s="354" t="s">
        <v>204</v>
      </c>
      <c r="AC17" s="354" t="s">
        <v>467</v>
      </c>
      <c r="AD17" s="354"/>
      <c r="AE17" s="354"/>
      <c r="AF17" s="355"/>
      <c r="AG17" s="355"/>
      <c r="AH17" s="355"/>
      <c r="AI17" s="355" t="s">
        <v>591</v>
      </c>
      <c r="AJ17" s="356">
        <v>115</v>
      </c>
      <c r="AK17" s="356"/>
      <c r="AL17" s="356"/>
    </row>
    <row r="18" spans="1:38" ht="168" customHeight="1" thickBot="1">
      <c r="A18" s="239" t="s">
        <v>715</v>
      </c>
      <c r="B18" s="258" t="s">
        <v>439</v>
      </c>
      <c r="C18" s="247" t="s">
        <v>178</v>
      </c>
      <c r="D18" s="248" t="s">
        <v>442</v>
      </c>
      <c r="E18" s="249">
        <v>45352</v>
      </c>
      <c r="F18" s="296">
        <v>2297592.2799999998</v>
      </c>
      <c r="G18" s="268" t="s">
        <v>518</v>
      </c>
      <c r="H18" s="269" t="s">
        <v>31</v>
      </c>
      <c r="I18" s="270" t="s">
        <v>519</v>
      </c>
      <c r="J18" s="272"/>
      <c r="K18" s="315">
        <v>1858910.8</v>
      </c>
      <c r="L18" s="272" t="s">
        <v>648</v>
      </c>
      <c r="M18" s="269" t="s">
        <v>31</v>
      </c>
      <c r="N18" s="270" t="s">
        <v>698</v>
      </c>
      <c r="O18" s="273" t="s">
        <v>747</v>
      </c>
      <c r="P18" s="273" t="s">
        <v>839</v>
      </c>
      <c r="Q18" s="297" t="s">
        <v>518</v>
      </c>
      <c r="R18" s="269" t="s">
        <v>31</v>
      </c>
      <c r="S18" s="270"/>
      <c r="T18" s="370">
        <v>882823.1</v>
      </c>
      <c r="U18" s="359"/>
      <c r="V18" s="361" t="s">
        <v>22</v>
      </c>
      <c r="W18" s="337" t="s">
        <v>892</v>
      </c>
      <c r="X18" s="353"/>
      <c r="Y18" s="354" t="s">
        <v>833</v>
      </c>
      <c r="Z18" s="354" t="s">
        <v>401</v>
      </c>
      <c r="AA18" s="354" t="s">
        <v>412</v>
      </c>
      <c r="AB18" s="354" t="s">
        <v>204</v>
      </c>
      <c r="AC18" s="354" t="s">
        <v>467</v>
      </c>
      <c r="AD18" s="354"/>
      <c r="AE18" s="354"/>
      <c r="AF18" s="355"/>
      <c r="AG18" s="355"/>
      <c r="AH18" s="355"/>
      <c r="AI18" s="355" t="s">
        <v>591</v>
      </c>
      <c r="AJ18" s="356">
        <v>116</v>
      </c>
      <c r="AK18" s="356"/>
      <c r="AL18" s="356"/>
    </row>
    <row r="19" spans="1:38" ht="168" customHeight="1" thickBot="1">
      <c r="A19" s="239" t="s">
        <v>715</v>
      </c>
      <c r="B19" s="258" t="s">
        <v>440</v>
      </c>
      <c r="C19" s="247" t="s">
        <v>178</v>
      </c>
      <c r="D19" s="248" t="s">
        <v>443</v>
      </c>
      <c r="E19" s="249">
        <v>45352</v>
      </c>
      <c r="F19" s="268" t="s">
        <v>520</v>
      </c>
      <c r="G19" s="268" t="s">
        <v>521</v>
      </c>
      <c r="H19" s="269" t="s">
        <v>35</v>
      </c>
      <c r="I19" s="270" t="s">
        <v>583</v>
      </c>
      <c r="J19" s="272" t="s">
        <v>645</v>
      </c>
      <c r="K19" s="313">
        <v>6696596.8899999997</v>
      </c>
      <c r="L19" s="314">
        <v>6696596.8899999997</v>
      </c>
      <c r="M19" s="269" t="s">
        <v>31</v>
      </c>
      <c r="N19" s="270" t="s">
        <v>646</v>
      </c>
      <c r="O19" s="273" t="s">
        <v>779</v>
      </c>
      <c r="P19" s="273" t="s">
        <v>840</v>
      </c>
      <c r="Q19" s="268" t="s">
        <v>521</v>
      </c>
      <c r="R19" s="269" t="s">
        <v>31</v>
      </c>
      <c r="S19" s="270"/>
      <c r="T19" s="371">
        <v>71978.38</v>
      </c>
      <c r="U19" s="359"/>
      <c r="V19" s="361" t="s">
        <v>22</v>
      </c>
      <c r="W19" s="362"/>
      <c r="X19" s="353"/>
      <c r="Y19" s="354" t="s">
        <v>833</v>
      </c>
      <c r="Z19" s="372" t="s">
        <v>401</v>
      </c>
      <c r="AA19" s="354" t="s">
        <v>412</v>
      </c>
      <c r="AB19" s="373" t="s">
        <v>204</v>
      </c>
      <c r="AC19" s="354" t="s">
        <v>467</v>
      </c>
      <c r="AD19" s="354"/>
      <c r="AE19" s="354"/>
      <c r="AF19" s="355"/>
      <c r="AG19" s="355"/>
      <c r="AH19" s="355"/>
      <c r="AI19" s="355" t="s">
        <v>591</v>
      </c>
      <c r="AJ19" s="356">
        <v>117</v>
      </c>
      <c r="AK19" s="356"/>
      <c r="AL19" s="356"/>
    </row>
    <row r="20" spans="1:38" ht="168" customHeight="1" thickBot="1">
      <c r="A20" s="239" t="s">
        <v>715</v>
      </c>
      <c r="B20" s="258" t="s">
        <v>432</v>
      </c>
      <c r="C20" s="247" t="s">
        <v>179</v>
      </c>
      <c r="D20" s="248" t="s">
        <v>435</v>
      </c>
      <c r="E20" s="249">
        <v>45352</v>
      </c>
      <c r="F20" s="295">
        <v>0.91</v>
      </c>
      <c r="G20" s="298"/>
      <c r="H20" s="269" t="s">
        <v>31</v>
      </c>
      <c r="I20" s="270" t="s">
        <v>592</v>
      </c>
      <c r="J20" s="314">
        <v>1858910.8</v>
      </c>
      <c r="K20" s="315">
        <v>1858910.8</v>
      </c>
      <c r="L20" s="272" t="s">
        <v>648</v>
      </c>
      <c r="M20" s="269" t="s">
        <v>31</v>
      </c>
      <c r="N20" s="270" t="s">
        <v>698</v>
      </c>
      <c r="O20" s="328" t="s">
        <v>780</v>
      </c>
      <c r="P20" s="273" t="s">
        <v>841</v>
      </c>
      <c r="Q20" s="298">
        <v>0.9</v>
      </c>
      <c r="R20" s="269" t="s">
        <v>31</v>
      </c>
      <c r="S20" s="270"/>
      <c r="T20" s="374">
        <v>0.95040000000000002</v>
      </c>
      <c r="U20" s="359"/>
      <c r="V20" s="361" t="s">
        <v>22</v>
      </c>
      <c r="W20" s="348"/>
      <c r="X20" s="353"/>
      <c r="Y20" s="354" t="s">
        <v>833</v>
      </c>
      <c r="Z20" s="354" t="s">
        <v>401</v>
      </c>
      <c r="AA20" s="354" t="s">
        <v>412</v>
      </c>
      <c r="AB20" s="354" t="s">
        <v>204</v>
      </c>
      <c r="AC20" s="354" t="s">
        <v>467</v>
      </c>
      <c r="AD20" s="354"/>
      <c r="AE20" s="354"/>
      <c r="AF20" s="355"/>
      <c r="AG20" s="355"/>
      <c r="AH20" s="355"/>
      <c r="AI20" s="355" t="s">
        <v>591</v>
      </c>
      <c r="AJ20" s="356">
        <v>118</v>
      </c>
      <c r="AK20" s="356"/>
      <c r="AL20" s="356"/>
    </row>
    <row r="21" spans="1:38" ht="168" customHeight="1" thickBot="1">
      <c r="A21" s="239" t="s">
        <v>715</v>
      </c>
      <c r="B21" s="258" t="s">
        <v>433</v>
      </c>
      <c r="C21" s="247" t="s">
        <v>179</v>
      </c>
      <c r="D21" s="248" t="s">
        <v>436</v>
      </c>
      <c r="E21" s="249">
        <v>45352</v>
      </c>
      <c r="F21" s="295">
        <v>0.85</v>
      </c>
      <c r="G21" s="298">
        <v>0.9</v>
      </c>
      <c r="H21" s="269" t="s">
        <v>31</v>
      </c>
      <c r="I21" s="270" t="s">
        <v>522</v>
      </c>
      <c r="J21" s="314">
        <v>106546.36</v>
      </c>
      <c r="K21" s="313">
        <v>106546.36</v>
      </c>
      <c r="L21" s="314">
        <v>106546.36</v>
      </c>
      <c r="M21" s="269" t="s">
        <v>31</v>
      </c>
      <c r="N21" s="316" t="s">
        <v>690</v>
      </c>
      <c r="O21" s="328" t="s">
        <v>842</v>
      </c>
      <c r="P21" s="273" t="s">
        <v>843</v>
      </c>
      <c r="Q21" s="298">
        <v>0.9</v>
      </c>
      <c r="R21" s="269" t="s">
        <v>31</v>
      </c>
      <c r="S21" s="270"/>
      <c r="T21" s="374">
        <v>0.86709999999999998</v>
      </c>
      <c r="U21" s="359"/>
      <c r="V21" s="361" t="s">
        <v>23</v>
      </c>
      <c r="W21" s="360" t="s">
        <v>893</v>
      </c>
      <c r="X21" s="353"/>
      <c r="Y21" s="354" t="s">
        <v>833</v>
      </c>
      <c r="Z21" s="354" t="s">
        <v>401</v>
      </c>
      <c r="AA21" s="354" t="s">
        <v>412</v>
      </c>
      <c r="AB21" s="354" t="s">
        <v>204</v>
      </c>
      <c r="AC21" s="354" t="s">
        <v>467</v>
      </c>
      <c r="AD21" s="354"/>
      <c r="AE21" s="354"/>
      <c r="AF21" s="355"/>
      <c r="AG21" s="355"/>
      <c r="AH21" s="355"/>
      <c r="AI21" s="355" t="s">
        <v>591</v>
      </c>
      <c r="AJ21" s="356">
        <v>119</v>
      </c>
      <c r="AK21" s="356"/>
      <c r="AL21" s="356"/>
    </row>
    <row r="22" spans="1:38" ht="168" customHeight="1" thickBot="1">
      <c r="A22" s="239" t="s">
        <v>715</v>
      </c>
      <c r="B22" s="258" t="s">
        <v>434</v>
      </c>
      <c r="C22" s="247" t="s">
        <v>179</v>
      </c>
      <c r="D22" s="248" t="s">
        <v>437</v>
      </c>
      <c r="E22" s="249">
        <v>45352</v>
      </c>
      <c r="F22" s="295">
        <v>0.33</v>
      </c>
      <c r="G22" s="298">
        <v>0.5</v>
      </c>
      <c r="H22" s="269" t="s">
        <v>31</v>
      </c>
      <c r="I22" s="270"/>
      <c r="J22" s="319"/>
      <c r="K22" s="275">
        <v>0.77190000000000003</v>
      </c>
      <c r="L22" s="272"/>
      <c r="M22" s="269" t="s">
        <v>31</v>
      </c>
      <c r="N22" s="270" t="s">
        <v>684</v>
      </c>
      <c r="O22" s="328" t="s">
        <v>781</v>
      </c>
      <c r="P22" s="273" t="s">
        <v>844</v>
      </c>
      <c r="Q22" s="298">
        <v>0.5</v>
      </c>
      <c r="R22" s="269" t="s">
        <v>31</v>
      </c>
      <c r="S22" s="270"/>
      <c r="T22" s="337" t="s">
        <v>908</v>
      </c>
      <c r="U22" s="359"/>
      <c r="V22" s="361" t="s">
        <v>22</v>
      </c>
      <c r="W22" s="352" t="s">
        <v>894</v>
      </c>
      <c r="X22" s="353"/>
      <c r="Y22" s="354" t="s">
        <v>833</v>
      </c>
      <c r="Z22" s="354" t="s">
        <v>401</v>
      </c>
      <c r="AA22" s="354" t="s">
        <v>412</v>
      </c>
      <c r="AB22" s="354" t="s">
        <v>204</v>
      </c>
      <c r="AC22" s="354" t="s">
        <v>467</v>
      </c>
      <c r="AD22" s="354"/>
      <c r="AE22" s="354"/>
      <c r="AF22" s="355"/>
      <c r="AG22" s="355"/>
      <c r="AH22" s="355"/>
      <c r="AI22" s="355" t="s">
        <v>591</v>
      </c>
      <c r="AJ22" s="356">
        <v>120</v>
      </c>
      <c r="AK22" s="356"/>
      <c r="AL22" s="356"/>
    </row>
    <row r="23" spans="1:38" ht="168" customHeight="1" thickBot="1">
      <c r="A23" s="239" t="s">
        <v>715</v>
      </c>
      <c r="B23" s="258" t="s">
        <v>426</v>
      </c>
      <c r="C23" s="247" t="s">
        <v>429</v>
      </c>
      <c r="D23" s="248" t="s">
        <v>428</v>
      </c>
      <c r="E23" s="249">
        <v>45352</v>
      </c>
      <c r="F23" s="294" t="s">
        <v>514</v>
      </c>
      <c r="G23" s="298">
        <v>0.98</v>
      </c>
      <c r="H23" s="269" t="s">
        <v>31</v>
      </c>
      <c r="I23" s="270" t="s">
        <v>570</v>
      </c>
      <c r="J23" s="272"/>
      <c r="K23" s="275">
        <v>0.56359999999999999</v>
      </c>
      <c r="L23" s="272"/>
      <c r="M23" s="269" t="s">
        <v>31</v>
      </c>
      <c r="N23" s="270" t="s">
        <v>647</v>
      </c>
      <c r="O23" s="273" t="s">
        <v>748</v>
      </c>
      <c r="P23" s="273" t="s">
        <v>782</v>
      </c>
      <c r="Q23" s="328"/>
      <c r="R23" s="269" t="s">
        <v>31</v>
      </c>
      <c r="S23" s="270" t="s">
        <v>830</v>
      </c>
      <c r="T23" s="348" t="s">
        <v>891</v>
      </c>
      <c r="U23" s="359"/>
      <c r="V23" s="361" t="s">
        <v>23</v>
      </c>
      <c r="W23" s="362"/>
      <c r="X23" s="363"/>
      <c r="Y23" s="354" t="s">
        <v>833</v>
      </c>
      <c r="Z23" s="354" t="s">
        <v>401</v>
      </c>
      <c r="AA23" s="354" t="s">
        <v>412</v>
      </c>
      <c r="AB23" s="354" t="s">
        <v>204</v>
      </c>
      <c r="AC23" s="354" t="s">
        <v>467</v>
      </c>
      <c r="AD23" s="354"/>
      <c r="AE23" s="354"/>
      <c r="AF23" s="355"/>
      <c r="AG23" s="355"/>
      <c r="AH23" s="355"/>
      <c r="AI23" s="355" t="s">
        <v>591</v>
      </c>
      <c r="AJ23" s="356">
        <v>121</v>
      </c>
      <c r="AK23" s="356"/>
      <c r="AL23" s="356"/>
    </row>
    <row r="24" spans="1:38" ht="168" customHeight="1" thickBot="1">
      <c r="A24" s="239" t="s">
        <v>715</v>
      </c>
      <c r="B24" s="258" t="s">
        <v>427</v>
      </c>
      <c r="C24" s="247" t="s">
        <v>430</v>
      </c>
      <c r="D24" s="248" t="s">
        <v>431</v>
      </c>
      <c r="E24" s="249">
        <v>45352</v>
      </c>
      <c r="F24" s="268" t="s">
        <v>515</v>
      </c>
      <c r="G24" s="298">
        <v>0.99</v>
      </c>
      <c r="H24" s="269" t="s">
        <v>31</v>
      </c>
      <c r="I24" s="270" t="s">
        <v>571</v>
      </c>
      <c r="J24" s="272"/>
      <c r="K24" s="275">
        <v>0.6119</v>
      </c>
      <c r="L24" s="272"/>
      <c r="M24" s="269" t="s">
        <v>31</v>
      </c>
      <c r="N24" s="270" t="s">
        <v>691</v>
      </c>
      <c r="O24" s="328" t="s">
        <v>783</v>
      </c>
      <c r="P24" s="273" t="s">
        <v>784</v>
      </c>
      <c r="Q24" s="328"/>
      <c r="R24" s="269" t="s">
        <v>31</v>
      </c>
      <c r="S24" s="270" t="s">
        <v>831</v>
      </c>
      <c r="T24" s="348" t="s">
        <v>890</v>
      </c>
      <c r="U24" s="359"/>
      <c r="V24" s="361" t="s">
        <v>23</v>
      </c>
      <c r="W24" s="362"/>
      <c r="X24" s="363"/>
      <c r="Y24" s="354" t="s">
        <v>833</v>
      </c>
      <c r="Z24" s="354" t="s">
        <v>401</v>
      </c>
      <c r="AA24" s="354" t="s">
        <v>412</v>
      </c>
      <c r="AB24" s="354" t="s">
        <v>204</v>
      </c>
      <c r="AC24" s="354" t="s">
        <v>467</v>
      </c>
      <c r="AD24" s="354"/>
      <c r="AE24" s="354"/>
      <c r="AF24" s="355"/>
      <c r="AG24" s="355"/>
      <c r="AH24" s="355"/>
      <c r="AI24" s="355" t="s">
        <v>591</v>
      </c>
      <c r="AJ24" s="356">
        <v>122</v>
      </c>
      <c r="AK24" s="356"/>
      <c r="AL24" s="356"/>
    </row>
    <row r="25" spans="1:38" ht="168" customHeight="1" thickBot="1">
      <c r="A25" s="239" t="s">
        <v>851</v>
      </c>
      <c r="B25" s="258" t="s">
        <v>242</v>
      </c>
      <c r="C25" s="247" t="s">
        <v>243</v>
      </c>
      <c r="D25" s="248" t="s">
        <v>244</v>
      </c>
      <c r="E25" s="249">
        <v>45200</v>
      </c>
      <c r="F25" s="268" t="s">
        <v>704</v>
      </c>
      <c r="G25" s="268"/>
      <c r="H25" s="269" t="s">
        <v>31</v>
      </c>
      <c r="I25" s="270"/>
      <c r="J25" s="271"/>
      <c r="K25" s="271"/>
      <c r="L25" s="272"/>
      <c r="M25" s="269" t="s">
        <v>31</v>
      </c>
      <c r="N25" s="270"/>
      <c r="O25" s="271" t="s">
        <v>728</v>
      </c>
      <c r="P25" s="273"/>
      <c r="Q25" s="328"/>
      <c r="R25" s="269" t="s">
        <v>22</v>
      </c>
      <c r="S25" s="270"/>
      <c r="T25" s="337" t="s">
        <v>916</v>
      </c>
      <c r="U25" s="359"/>
      <c r="V25" s="361" t="s">
        <v>22</v>
      </c>
      <c r="W25" s="362"/>
      <c r="X25" s="363"/>
      <c r="Y25" s="354" t="s">
        <v>389</v>
      </c>
      <c r="Z25" s="354" t="s">
        <v>390</v>
      </c>
      <c r="AA25" s="354" t="s">
        <v>404</v>
      </c>
      <c r="AB25" s="354" t="s">
        <v>414</v>
      </c>
      <c r="AC25" s="354" t="s">
        <v>201</v>
      </c>
      <c r="AD25" s="354"/>
      <c r="AE25" s="354"/>
      <c r="AF25" s="355"/>
      <c r="AG25" s="355"/>
      <c r="AH25" s="355" t="s">
        <v>591</v>
      </c>
      <c r="AI25" s="355"/>
      <c r="AJ25" s="356">
        <v>17</v>
      </c>
      <c r="AK25" s="356"/>
      <c r="AL25" s="356"/>
    </row>
    <row r="26" spans="1:38" ht="168" customHeight="1" thickBot="1">
      <c r="A26" s="239" t="s">
        <v>851</v>
      </c>
      <c r="B26" s="258" t="s">
        <v>377</v>
      </c>
      <c r="C26" s="247" t="s">
        <v>2</v>
      </c>
      <c r="D26" s="248" t="s">
        <v>466</v>
      </c>
      <c r="E26" s="257" t="s">
        <v>134</v>
      </c>
      <c r="F26" s="288" t="s">
        <v>585</v>
      </c>
      <c r="G26" s="268" t="s">
        <v>586</v>
      </c>
      <c r="H26" s="269" t="s">
        <v>31</v>
      </c>
      <c r="I26" s="270"/>
      <c r="J26" s="325" t="s">
        <v>663</v>
      </c>
      <c r="K26" s="271" t="s">
        <v>617</v>
      </c>
      <c r="L26" s="272" t="s">
        <v>586</v>
      </c>
      <c r="M26" s="269" t="s">
        <v>31</v>
      </c>
      <c r="N26" s="318"/>
      <c r="O26" s="273" t="s">
        <v>745</v>
      </c>
      <c r="P26" s="273" t="s">
        <v>746</v>
      </c>
      <c r="Q26" s="268" t="s">
        <v>586</v>
      </c>
      <c r="R26" s="269" t="s">
        <v>31</v>
      </c>
      <c r="S26" s="270"/>
      <c r="T26" s="375" t="s">
        <v>935</v>
      </c>
      <c r="U26" s="376" t="s">
        <v>934</v>
      </c>
      <c r="V26" s="361" t="s">
        <v>22</v>
      </c>
      <c r="W26" s="367"/>
      <c r="X26" s="363"/>
      <c r="Y26" s="354" t="s">
        <v>389</v>
      </c>
      <c r="Z26" s="354" t="s">
        <v>390</v>
      </c>
      <c r="AA26" s="354" t="s">
        <v>412</v>
      </c>
      <c r="AB26" s="354" t="s">
        <v>414</v>
      </c>
      <c r="AC26" s="354" t="s">
        <v>467</v>
      </c>
      <c r="AD26" s="354"/>
      <c r="AE26" s="354"/>
      <c r="AF26" s="355"/>
      <c r="AG26" s="355"/>
      <c r="AH26" s="355"/>
      <c r="AI26" s="355" t="s">
        <v>591</v>
      </c>
      <c r="AJ26" s="356">
        <v>128</v>
      </c>
      <c r="AK26" s="356"/>
      <c r="AL26" s="356"/>
    </row>
    <row r="27" spans="1:38" ht="168" customHeight="1" thickBot="1">
      <c r="A27" s="239" t="s">
        <v>851</v>
      </c>
      <c r="B27" s="258" t="s">
        <v>378</v>
      </c>
      <c r="C27" s="247" t="s">
        <v>97</v>
      </c>
      <c r="D27" s="248" t="s">
        <v>185</v>
      </c>
      <c r="E27" s="249">
        <v>45352</v>
      </c>
      <c r="F27" s="268"/>
      <c r="G27" s="268"/>
      <c r="H27" s="269" t="s">
        <v>35</v>
      </c>
      <c r="I27" s="270"/>
      <c r="J27" s="277"/>
      <c r="K27" s="276"/>
      <c r="L27" s="277"/>
      <c r="M27" s="269" t="s">
        <v>35</v>
      </c>
      <c r="N27" s="278"/>
      <c r="O27" s="273"/>
      <c r="P27" s="273"/>
      <c r="Q27" s="328"/>
      <c r="R27" s="269" t="s">
        <v>35</v>
      </c>
      <c r="S27" s="278"/>
      <c r="T27" s="336" t="s">
        <v>914</v>
      </c>
      <c r="U27" s="357" t="s">
        <v>913</v>
      </c>
      <c r="V27" s="361" t="s">
        <v>22</v>
      </c>
      <c r="W27" s="358" t="s">
        <v>931</v>
      </c>
      <c r="X27" s="353"/>
      <c r="Y27" s="354" t="s">
        <v>389</v>
      </c>
      <c r="Z27" s="354" t="s">
        <v>390</v>
      </c>
      <c r="AA27" s="354" t="s">
        <v>412</v>
      </c>
      <c r="AB27" s="354" t="s">
        <v>414</v>
      </c>
      <c r="AC27" s="354" t="s">
        <v>467</v>
      </c>
      <c r="AD27" s="354"/>
      <c r="AE27" s="354"/>
      <c r="AF27" s="355"/>
      <c r="AG27" s="355"/>
      <c r="AH27" s="355"/>
      <c r="AI27" s="355" t="s">
        <v>591</v>
      </c>
      <c r="AJ27" s="356">
        <v>129</v>
      </c>
      <c r="AK27" s="356"/>
      <c r="AL27" s="356"/>
    </row>
    <row r="28" spans="1:38" ht="168" customHeight="1" thickBot="1">
      <c r="A28" s="239" t="s">
        <v>102</v>
      </c>
      <c r="B28" s="258" t="s">
        <v>209</v>
      </c>
      <c r="C28" s="247" t="s">
        <v>207</v>
      </c>
      <c r="D28" s="252" t="s">
        <v>210</v>
      </c>
      <c r="E28" s="253">
        <v>45170</v>
      </c>
      <c r="F28" s="268"/>
      <c r="G28" s="268"/>
      <c r="H28" s="269" t="s">
        <v>35</v>
      </c>
      <c r="I28" s="270"/>
      <c r="J28" s="271" t="s">
        <v>710</v>
      </c>
      <c r="K28" s="271"/>
      <c r="L28" s="272"/>
      <c r="M28" s="269" t="s">
        <v>22</v>
      </c>
      <c r="N28" s="270"/>
      <c r="O28" s="273" t="s">
        <v>785</v>
      </c>
      <c r="P28" s="273"/>
      <c r="Q28" s="328"/>
      <c r="R28" s="269" t="s">
        <v>22</v>
      </c>
      <c r="S28" s="270"/>
      <c r="T28" s="346" t="s">
        <v>785</v>
      </c>
      <c r="U28" s="377"/>
      <c r="V28" s="361" t="s">
        <v>22</v>
      </c>
      <c r="W28" s="352"/>
      <c r="X28" s="363"/>
      <c r="Y28" s="354" t="s">
        <v>836</v>
      </c>
      <c r="Z28" s="354" t="s">
        <v>383</v>
      </c>
      <c r="AA28" s="354" t="s">
        <v>403</v>
      </c>
      <c r="AB28" s="354" t="s">
        <v>414</v>
      </c>
      <c r="AC28" s="354" t="s">
        <v>467</v>
      </c>
      <c r="AD28" s="354"/>
      <c r="AE28" s="354"/>
      <c r="AF28" s="355"/>
      <c r="AG28" s="355"/>
      <c r="AH28" s="355"/>
      <c r="AI28" s="355" t="s">
        <v>591</v>
      </c>
      <c r="AJ28" s="356">
        <v>2</v>
      </c>
      <c r="AK28" s="356"/>
      <c r="AL28" s="356"/>
    </row>
    <row r="29" spans="1:38" ht="168" customHeight="1" thickBot="1">
      <c r="A29" s="239" t="s">
        <v>102</v>
      </c>
      <c r="B29" s="258" t="s">
        <v>211</v>
      </c>
      <c r="C29" s="247" t="s">
        <v>207</v>
      </c>
      <c r="D29" s="252" t="s">
        <v>212</v>
      </c>
      <c r="E29" s="253">
        <v>45170</v>
      </c>
      <c r="F29" s="268" t="s">
        <v>544</v>
      </c>
      <c r="G29" s="268"/>
      <c r="H29" s="269" t="s">
        <v>31</v>
      </c>
      <c r="I29" s="270"/>
      <c r="J29" s="268" t="s">
        <v>618</v>
      </c>
      <c r="K29" s="271"/>
      <c r="L29" s="272"/>
      <c r="M29" s="269" t="s">
        <v>22</v>
      </c>
      <c r="N29" s="270" t="s">
        <v>654</v>
      </c>
      <c r="O29" s="328" t="s">
        <v>785</v>
      </c>
      <c r="P29" s="273"/>
      <c r="Q29" s="328"/>
      <c r="R29" s="269" t="s">
        <v>22</v>
      </c>
      <c r="S29" s="270"/>
      <c r="T29" s="346" t="s">
        <v>785</v>
      </c>
      <c r="U29" s="377"/>
      <c r="V29" s="361" t="s">
        <v>22</v>
      </c>
      <c r="W29" s="352"/>
      <c r="X29" s="353"/>
      <c r="Y29" s="354" t="s">
        <v>836</v>
      </c>
      <c r="Z29" s="354" t="s">
        <v>383</v>
      </c>
      <c r="AA29" s="354" t="s">
        <v>403</v>
      </c>
      <c r="AB29" s="354" t="s">
        <v>414</v>
      </c>
      <c r="AC29" s="354" t="s">
        <v>467</v>
      </c>
      <c r="AD29" s="354"/>
      <c r="AE29" s="354"/>
      <c r="AF29" s="355"/>
      <c r="AG29" s="355"/>
      <c r="AH29" s="355"/>
      <c r="AI29" s="355" t="s">
        <v>591</v>
      </c>
      <c r="AJ29" s="356">
        <v>3</v>
      </c>
      <c r="AK29" s="356"/>
      <c r="AL29" s="356"/>
    </row>
    <row r="30" spans="1:38" ht="168" customHeight="1" thickBot="1">
      <c r="A30" s="239" t="s">
        <v>102</v>
      </c>
      <c r="B30" s="258" t="s">
        <v>213</v>
      </c>
      <c r="C30" s="247" t="s">
        <v>207</v>
      </c>
      <c r="D30" s="254" t="s">
        <v>214</v>
      </c>
      <c r="E30" s="249">
        <v>45108</v>
      </c>
      <c r="F30" s="268" t="s">
        <v>575</v>
      </c>
      <c r="G30" s="268"/>
      <c r="H30" s="269" t="s">
        <v>31</v>
      </c>
      <c r="I30" s="270"/>
      <c r="J30" s="268" t="s">
        <v>655</v>
      </c>
      <c r="K30" s="276"/>
      <c r="L30" s="277"/>
      <c r="M30" s="269" t="s">
        <v>22</v>
      </c>
      <c r="N30" s="278"/>
      <c r="O30" s="273" t="s">
        <v>785</v>
      </c>
      <c r="P30" s="273"/>
      <c r="Q30" s="328"/>
      <c r="R30" s="269" t="s">
        <v>22</v>
      </c>
      <c r="S30" s="278"/>
      <c r="T30" s="346" t="s">
        <v>785</v>
      </c>
      <c r="U30" s="357"/>
      <c r="V30" s="361" t="s">
        <v>22</v>
      </c>
      <c r="W30" s="358"/>
      <c r="X30" s="363"/>
      <c r="Y30" s="354" t="s">
        <v>837</v>
      </c>
      <c r="Z30" s="354" t="s">
        <v>383</v>
      </c>
      <c r="AA30" s="354" t="s">
        <v>403</v>
      </c>
      <c r="AB30" s="354" t="s">
        <v>414</v>
      </c>
      <c r="AC30" s="354" t="s">
        <v>467</v>
      </c>
      <c r="AD30" s="354"/>
      <c r="AE30" s="354"/>
      <c r="AF30" s="355"/>
      <c r="AG30" s="355"/>
      <c r="AH30" s="355"/>
      <c r="AI30" s="355" t="s">
        <v>591</v>
      </c>
      <c r="AJ30" s="356">
        <v>4</v>
      </c>
      <c r="AK30" s="356"/>
      <c r="AL30" s="356"/>
    </row>
    <row r="31" spans="1:38" ht="168" customHeight="1" thickBot="1">
      <c r="A31" s="239" t="s">
        <v>102</v>
      </c>
      <c r="B31" s="258" t="s">
        <v>215</v>
      </c>
      <c r="C31" s="247" t="s">
        <v>207</v>
      </c>
      <c r="D31" s="252" t="s">
        <v>216</v>
      </c>
      <c r="E31" s="249">
        <v>45200</v>
      </c>
      <c r="F31" s="268" t="s">
        <v>474</v>
      </c>
      <c r="G31" s="268"/>
      <c r="H31" s="269" t="s">
        <v>35</v>
      </c>
      <c r="I31" s="270"/>
      <c r="J31" s="276" t="s">
        <v>619</v>
      </c>
      <c r="K31" s="276"/>
      <c r="L31" s="277"/>
      <c r="M31" s="269" t="s">
        <v>31</v>
      </c>
      <c r="N31" s="278"/>
      <c r="O31" s="276" t="s">
        <v>755</v>
      </c>
      <c r="P31" s="273"/>
      <c r="Q31" s="328"/>
      <c r="R31" s="269" t="s">
        <v>22</v>
      </c>
      <c r="S31" s="278"/>
      <c r="T31" s="346" t="s">
        <v>895</v>
      </c>
      <c r="U31" s="357"/>
      <c r="V31" s="361" t="s">
        <v>22</v>
      </c>
      <c r="W31" s="358"/>
      <c r="X31" s="363"/>
      <c r="Y31" s="354" t="s">
        <v>835</v>
      </c>
      <c r="Z31" s="354" t="s">
        <v>383</v>
      </c>
      <c r="AA31" s="354" t="s">
        <v>403</v>
      </c>
      <c r="AB31" s="354" t="s">
        <v>414</v>
      </c>
      <c r="AC31" s="354" t="s">
        <v>467</v>
      </c>
      <c r="AD31" s="354"/>
      <c r="AE31" s="354"/>
      <c r="AF31" s="355"/>
      <c r="AG31" s="355"/>
      <c r="AH31" s="355"/>
      <c r="AI31" s="355" t="s">
        <v>591</v>
      </c>
      <c r="AJ31" s="356">
        <v>5</v>
      </c>
      <c r="AK31" s="356"/>
      <c r="AL31" s="356"/>
    </row>
    <row r="32" spans="1:38" ht="168" customHeight="1" thickBot="1">
      <c r="A32" s="239" t="s">
        <v>102</v>
      </c>
      <c r="B32" s="258" t="s">
        <v>217</v>
      </c>
      <c r="C32" s="247" t="s">
        <v>207</v>
      </c>
      <c r="D32" s="252" t="s">
        <v>460</v>
      </c>
      <c r="E32" s="253">
        <v>45352</v>
      </c>
      <c r="F32" s="268" t="s">
        <v>475</v>
      </c>
      <c r="G32" s="268"/>
      <c r="H32" s="269" t="s">
        <v>35</v>
      </c>
      <c r="I32" s="270"/>
      <c r="J32" s="277" t="s">
        <v>700</v>
      </c>
      <c r="K32" s="271"/>
      <c r="L32" s="272"/>
      <c r="M32" s="269" t="s">
        <v>31</v>
      </c>
      <c r="N32" s="278"/>
      <c r="O32" s="277" t="s">
        <v>756</v>
      </c>
      <c r="P32" s="273"/>
      <c r="Q32" s="328"/>
      <c r="R32" s="269" t="s">
        <v>31</v>
      </c>
      <c r="S32" s="278"/>
      <c r="T32" s="357" t="s">
        <v>897</v>
      </c>
      <c r="U32" s="357"/>
      <c r="V32" s="361" t="s">
        <v>22</v>
      </c>
      <c r="W32" s="358" t="s">
        <v>903</v>
      </c>
      <c r="X32" s="363"/>
      <c r="Y32" s="354" t="s">
        <v>836</v>
      </c>
      <c r="Z32" s="354" t="s">
        <v>383</v>
      </c>
      <c r="AA32" s="354" t="s">
        <v>403</v>
      </c>
      <c r="AB32" s="354" t="s">
        <v>414</v>
      </c>
      <c r="AC32" s="354" t="s">
        <v>467</v>
      </c>
      <c r="AD32" s="354"/>
      <c r="AE32" s="354"/>
      <c r="AF32" s="355"/>
      <c r="AG32" s="355"/>
      <c r="AH32" s="355"/>
      <c r="AI32" s="355" t="s">
        <v>591</v>
      </c>
      <c r="AJ32" s="356">
        <v>6</v>
      </c>
      <c r="AK32" s="356"/>
      <c r="AL32" s="356"/>
    </row>
    <row r="33" spans="1:38" ht="168" customHeight="1" thickBot="1">
      <c r="A33" s="239" t="s">
        <v>102</v>
      </c>
      <c r="B33" s="258" t="s">
        <v>457</v>
      </c>
      <c r="C33" s="247" t="s">
        <v>233</v>
      </c>
      <c r="D33" s="248" t="s">
        <v>458</v>
      </c>
      <c r="E33" s="249">
        <v>45200</v>
      </c>
      <c r="F33" s="268"/>
      <c r="G33" s="268"/>
      <c r="H33" s="269" t="s">
        <v>35</v>
      </c>
      <c r="I33" s="270"/>
      <c r="J33" s="272" t="s">
        <v>656</v>
      </c>
      <c r="K33" s="271"/>
      <c r="L33" s="272"/>
      <c r="M33" s="269" t="s">
        <v>31</v>
      </c>
      <c r="N33" s="270"/>
      <c r="O33" s="328" t="s">
        <v>656</v>
      </c>
      <c r="P33" s="330"/>
      <c r="Q33" s="328"/>
      <c r="R33" s="269" t="s">
        <v>22</v>
      </c>
      <c r="S33" s="270"/>
      <c r="T33" s="346" t="s">
        <v>895</v>
      </c>
      <c r="U33" s="357"/>
      <c r="V33" s="361" t="s">
        <v>22</v>
      </c>
      <c r="W33" s="358"/>
      <c r="X33" s="353"/>
      <c r="Y33" s="354" t="s">
        <v>833</v>
      </c>
      <c r="Z33" s="354" t="s">
        <v>470</v>
      </c>
      <c r="AA33" s="354" t="s">
        <v>404</v>
      </c>
      <c r="AB33" s="354" t="s">
        <v>109</v>
      </c>
      <c r="AC33" s="354" t="s">
        <v>201</v>
      </c>
      <c r="AD33" s="354"/>
      <c r="AE33" s="354"/>
      <c r="AF33" s="355"/>
      <c r="AG33" s="355"/>
      <c r="AH33" s="355" t="s">
        <v>591</v>
      </c>
      <c r="AI33" s="355"/>
      <c r="AJ33" s="356">
        <v>13</v>
      </c>
      <c r="AK33" s="356"/>
      <c r="AL33" s="356"/>
    </row>
    <row r="34" spans="1:38" ht="168" customHeight="1" thickBot="1">
      <c r="A34" s="239" t="s">
        <v>102</v>
      </c>
      <c r="B34" s="258" t="s">
        <v>277</v>
      </c>
      <c r="C34" s="247" t="s">
        <v>269</v>
      </c>
      <c r="D34" s="248" t="s">
        <v>278</v>
      </c>
      <c r="E34" s="249" t="s">
        <v>279</v>
      </c>
      <c r="F34" s="268" t="s">
        <v>476</v>
      </c>
      <c r="G34" s="268"/>
      <c r="H34" s="269" t="s">
        <v>22</v>
      </c>
      <c r="I34" s="270"/>
      <c r="J34" s="272" t="s">
        <v>620</v>
      </c>
      <c r="K34" s="271"/>
      <c r="L34" s="272"/>
      <c r="M34" s="269" t="s">
        <v>22</v>
      </c>
      <c r="N34" s="270"/>
      <c r="O34" s="272" t="s">
        <v>786</v>
      </c>
      <c r="P34" s="273"/>
      <c r="Q34" s="328"/>
      <c r="R34" s="269" t="s">
        <v>22</v>
      </c>
      <c r="S34" s="270"/>
      <c r="T34" s="346" t="s">
        <v>786</v>
      </c>
      <c r="U34" s="377"/>
      <c r="V34" s="361" t="s">
        <v>22</v>
      </c>
      <c r="W34" s="352"/>
      <c r="X34" s="353"/>
      <c r="Y34" s="354" t="s">
        <v>837</v>
      </c>
      <c r="Z34" s="354"/>
      <c r="AA34" s="354" t="s">
        <v>406</v>
      </c>
      <c r="AB34" s="354" t="s">
        <v>414</v>
      </c>
      <c r="AC34" s="354" t="s">
        <v>201</v>
      </c>
      <c r="AD34" s="354"/>
      <c r="AE34" s="354"/>
      <c r="AF34" s="355"/>
      <c r="AG34" s="355" t="s">
        <v>591</v>
      </c>
      <c r="AH34" s="355"/>
      <c r="AI34" s="355"/>
      <c r="AJ34" s="356">
        <v>33</v>
      </c>
      <c r="AK34" s="356"/>
      <c r="AL34" s="356"/>
    </row>
    <row r="35" spans="1:38" ht="168" customHeight="1" thickBot="1">
      <c r="A35" s="239" t="s">
        <v>102</v>
      </c>
      <c r="B35" s="258" t="s">
        <v>290</v>
      </c>
      <c r="C35" s="247" t="s">
        <v>291</v>
      </c>
      <c r="D35" s="248" t="s">
        <v>292</v>
      </c>
      <c r="E35" s="249">
        <v>45047</v>
      </c>
      <c r="F35" s="268" t="s">
        <v>477</v>
      </c>
      <c r="G35" s="268"/>
      <c r="H35" s="269" t="s">
        <v>22</v>
      </c>
      <c r="I35" s="270"/>
      <c r="J35" s="271" t="s">
        <v>620</v>
      </c>
      <c r="K35" s="271"/>
      <c r="L35" s="272"/>
      <c r="M35" s="269" t="s">
        <v>22</v>
      </c>
      <c r="N35" s="270"/>
      <c r="O35" s="271" t="s">
        <v>786</v>
      </c>
      <c r="P35" s="273"/>
      <c r="Q35" s="328"/>
      <c r="R35" s="269" t="s">
        <v>22</v>
      </c>
      <c r="S35" s="270"/>
      <c r="T35" s="346" t="s">
        <v>786</v>
      </c>
      <c r="U35" s="377"/>
      <c r="V35" s="361" t="s">
        <v>22</v>
      </c>
      <c r="W35" s="352"/>
      <c r="X35" s="353"/>
      <c r="Y35" s="354" t="s">
        <v>389</v>
      </c>
      <c r="Z35" s="354" t="s">
        <v>383</v>
      </c>
      <c r="AA35" s="354" t="s">
        <v>407</v>
      </c>
      <c r="AB35" s="354" t="s">
        <v>414</v>
      </c>
      <c r="AC35" s="354" t="s">
        <v>572</v>
      </c>
      <c r="AD35" s="354"/>
      <c r="AE35" s="354"/>
      <c r="AF35" s="355"/>
      <c r="AG35" s="355" t="s">
        <v>591</v>
      </c>
      <c r="AH35" s="355"/>
      <c r="AI35" s="355"/>
      <c r="AJ35" s="356">
        <v>38</v>
      </c>
      <c r="AK35" s="356"/>
      <c r="AL35" s="356"/>
    </row>
    <row r="36" spans="1:38" ht="168" customHeight="1" thickBot="1">
      <c r="A36" s="239" t="s">
        <v>102</v>
      </c>
      <c r="B36" s="258" t="s">
        <v>461</v>
      </c>
      <c r="C36" s="247" t="s">
        <v>167</v>
      </c>
      <c r="D36" s="248" t="s">
        <v>463</v>
      </c>
      <c r="E36" s="249">
        <v>45261</v>
      </c>
      <c r="F36" s="268" t="s">
        <v>543</v>
      </c>
      <c r="G36" s="268"/>
      <c r="H36" s="269" t="s">
        <v>31</v>
      </c>
      <c r="I36" s="270"/>
      <c r="J36" s="277" t="s">
        <v>701</v>
      </c>
      <c r="K36" s="284"/>
      <c r="L36" s="272"/>
      <c r="M36" s="269" t="s">
        <v>22</v>
      </c>
      <c r="N36" s="278"/>
      <c r="O36" s="271" t="s">
        <v>785</v>
      </c>
      <c r="P36" s="273"/>
      <c r="Q36" s="328"/>
      <c r="R36" s="269" t="s">
        <v>22</v>
      </c>
      <c r="S36" s="278"/>
      <c r="T36" s="346" t="s">
        <v>785</v>
      </c>
      <c r="U36" s="378"/>
      <c r="V36" s="361" t="s">
        <v>22</v>
      </c>
      <c r="W36" s="358"/>
      <c r="X36" s="363"/>
      <c r="Y36" s="354" t="s">
        <v>201</v>
      </c>
      <c r="Z36" s="354" t="s">
        <v>400</v>
      </c>
      <c r="AA36" s="354" t="s">
        <v>412</v>
      </c>
      <c r="AB36" s="354" t="s">
        <v>109</v>
      </c>
      <c r="AC36" s="354" t="s">
        <v>467</v>
      </c>
      <c r="AD36" s="354"/>
      <c r="AE36" s="354"/>
      <c r="AF36" s="355"/>
      <c r="AG36" s="355"/>
      <c r="AH36" s="355"/>
      <c r="AI36" s="355" t="s">
        <v>591</v>
      </c>
      <c r="AJ36" s="356">
        <v>85</v>
      </c>
      <c r="AK36" s="356"/>
      <c r="AL36" s="356"/>
    </row>
    <row r="37" spans="1:38" ht="168" customHeight="1" thickBot="1">
      <c r="A37" s="239" t="s">
        <v>102</v>
      </c>
      <c r="B37" s="258" t="s">
        <v>338</v>
      </c>
      <c r="C37" s="256" t="s">
        <v>135</v>
      </c>
      <c r="D37" s="254" t="s">
        <v>339</v>
      </c>
      <c r="E37" s="253">
        <v>45352</v>
      </c>
      <c r="F37" s="272" t="s">
        <v>478</v>
      </c>
      <c r="G37" s="268"/>
      <c r="H37" s="269" t="s">
        <v>35</v>
      </c>
      <c r="I37" s="270"/>
      <c r="J37" s="276" t="s">
        <v>657</v>
      </c>
      <c r="K37" s="276"/>
      <c r="L37" s="277"/>
      <c r="M37" s="269" t="s">
        <v>31</v>
      </c>
      <c r="N37" s="278" t="s">
        <v>692</v>
      </c>
      <c r="O37" s="276" t="s">
        <v>787</v>
      </c>
      <c r="P37" s="330"/>
      <c r="Q37" s="328"/>
      <c r="R37" s="269" t="s">
        <v>31</v>
      </c>
      <c r="S37" s="278" t="s">
        <v>692</v>
      </c>
      <c r="T37" s="336" t="s">
        <v>904</v>
      </c>
      <c r="U37" s="357"/>
      <c r="V37" s="361" t="s">
        <v>22</v>
      </c>
      <c r="W37" s="358"/>
      <c r="X37" s="353"/>
      <c r="Y37" s="354" t="s">
        <v>835</v>
      </c>
      <c r="Z37" s="354" t="s">
        <v>383</v>
      </c>
      <c r="AA37" s="354" t="s">
        <v>412</v>
      </c>
      <c r="AB37" s="379" t="s">
        <v>109</v>
      </c>
      <c r="AC37" s="354" t="s">
        <v>572</v>
      </c>
      <c r="AD37" s="354" t="s">
        <v>201</v>
      </c>
      <c r="AE37" s="354" t="s">
        <v>467</v>
      </c>
      <c r="AF37" s="355"/>
      <c r="AG37" s="355" t="s">
        <v>591</v>
      </c>
      <c r="AH37" s="355" t="s">
        <v>591</v>
      </c>
      <c r="AI37" s="355" t="s">
        <v>591</v>
      </c>
      <c r="AJ37" s="356">
        <v>87</v>
      </c>
      <c r="AK37" s="356"/>
      <c r="AL37" s="356"/>
    </row>
    <row r="38" spans="1:38" ht="168" customHeight="1" thickBot="1">
      <c r="A38" s="239" t="s">
        <v>102</v>
      </c>
      <c r="B38" s="258" t="s">
        <v>340</v>
      </c>
      <c r="C38" s="247" t="s">
        <v>136</v>
      </c>
      <c r="D38" s="248" t="s">
        <v>137</v>
      </c>
      <c r="E38" s="249">
        <v>45352</v>
      </c>
      <c r="F38" s="268" t="s">
        <v>479</v>
      </c>
      <c r="G38" s="268"/>
      <c r="H38" s="269" t="s">
        <v>31</v>
      </c>
      <c r="I38" s="270"/>
      <c r="J38" s="279" t="s">
        <v>479</v>
      </c>
      <c r="K38" s="271"/>
      <c r="L38" s="272"/>
      <c r="M38" s="269" t="s">
        <v>31</v>
      </c>
      <c r="N38" s="270"/>
      <c r="O38" s="268" t="s">
        <v>759</v>
      </c>
      <c r="P38" s="330"/>
      <c r="Q38" s="328"/>
      <c r="R38" s="269" t="s">
        <v>31</v>
      </c>
      <c r="S38" s="270"/>
      <c r="T38" s="337" t="s">
        <v>905</v>
      </c>
      <c r="U38" s="377"/>
      <c r="V38" s="361" t="s">
        <v>22</v>
      </c>
      <c r="W38" s="352"/>
      <c r="X38" s="363"/>
      <c r="Y38" s="354" t="s">
        <v>835</v>
      </c>
      <c r="Z38" s="354" t="s">
        <v>383</v>
      </c>
      <c r="AA38" s="354" t="s">
        <v>412</v>
      </c>
      <c r="AB38" s="354" t="s">
        <v>109</v>
      </c>
      <c r="AC38" s="354" t="s">
        <v>201</v>
      </c>
      <c r="AD38" s="354" t="s">
        <v>572</v>
      </c>
      <c r="AE38" s="354"/>
      <c r="AF38" s="355"/>
      <c r="AG38" s="355" t="s">
        <v>591</v>
      </c>
      <c r="AH38" s="355" t="s">
        <v>591</v>
      </c>
      <c r="AI38" s="355"/>
      <c r="AJ38" s="356">
        <v>88</v>
      </c>
      <c r="AK38" s="356"/>
      <c r="AL38" s="356"/>
    </row>
    <row r="39" spans="1:38" ht="168" customHeight="1" thickBot="1">
      <c r="A39" s="239" t="s">
        <v>102</v>
      </c>
      <c r="B39" s="258" t="s">
        <v>341</v>
      </c>
      <c r="C39" s="247" t="s">
        <v>180</v>
      </c>
      <c r="D39" s="248" t="s">
        <v>81</v>
      </c>
      <c r="E39" s="249">
        <v>45352</v>
      </c>
      <c r="F39" s="285" t="s">
        <v>480</v>
      </c>
      <c r="G39" s="268"/>
      <c r="H39" s="269" t="s">
        <v>31</v>
      </c>
      <c r="I39" s="270"/>
      <c r="J39" s="321" t="s">
        <v>621</v>
      </c>
      <c r="K39" s="271"/>
      <c r="L39" s="272"/>
      <c r="M39" s="269" t="s">
        <v>31</v>
      </c>
      <c r="N39" s="270"/>
      <c r="O39" s="273" t="s">
        <v>758</v>
      </c>
      <c r="P39" s="273"/>
      <c r="Q39" s="328"/>
      <c r="R39" s="269" t="s">
        <v>31</v>
      </c>
      <c r="S39" s="270"/>
      <c r="T39" s="346" t="s">
        <v>906</v>
      </c>
      <c r="U39" s="380"/>
      <c r="V39" s="361" t="s">
        <v>22</v>
      </c>
      <c r="W39" s="352"/>
      <c r="X39" s="353"/>
      <c r="Y39" s="354" t="s">
        <v>835</v>
      </c>
      <c r="Z39" s="354" t="s">
        <v>383</v>
      </c>
      <c r="AA39" s="354" t="s">
        <v>412</v>
      </c>
      <c r="AB39" s="354" t="s">
        <v>109</v>
      </c>
      <c r="AC39" s="354" t="s">
        <v>467</v>
      </c>
      <c r="AD39" s="354" t="s">
        <v>572</v>
      </c>
      <c r="AE39" s="354"/>
      <c r="AF39" s="355"/>
      <c r="AG39" s="355" t="s">
        <v>591</v>
      </c>
      <c r="AH39" s="355"/>
      <c r="AI39" s="355" t="s">
        <v>591</v>
      </c>
      <c r="AJ39" s="356">
        <v>89</v>
      </c>
      <c r="AK39" s="356"/>
      <c r="AL39" s="356"/>
    </row>
    <row r="40" spans="1:38" ht="168" customHeight="1" thickBot="1">
      <c r="A40" s="239" t="s">
        <v>102</v>
      </c>
      <c r="B40" s="258" t="s">
        <v>342</v>
      </c>
      <c r="C40" s="247" t="s">
        <v>136</v>
      </c>
      <c r="D40" s="248" t="s">
        <v>163</v>
      </c>
      <c r="E40" s="249">
        <v>45139</v>
      </c>
      <c r="F40" s="268" t="s">
        <v>576</v>
      </c>
      <c r="G40" s="268"/>
      <c r="H40" s="269" t="s">
        <v>31</v>
      </c>
      <c r="I40" s="270"/>
      <c r="J40" s="271" t="s">
        <v>622</v>
      </c>
      <c r="K40" s="271"/>
      <c r="L40" s="272"/>
      <c r="M40" s="269" t="s">
        <v>22</v>
      </c>
      <c r="N40" s="270"/>
      <c r="O40" s="271" t="s">
        <v>738</v>
      </c>
      <c r="P40" s="273"/>
      <c r="Q40" s="328"/>
      <c r="R40" s="269" t="s">
        <v>22</v>
      </c>
      <c r="S40" s="270"/>
      <c r="T40" s="337" t="s">
        <v>738</v>
      </c>
      <c r="U40" s="377"/>
      <c r="V40" s="361" t="s">
        <v>22</v>
      </c>
      <c r="W40" s="352"/>
      <c r="X40" s="353"/>
      <c r="Y40" s="354" t="s">
        <v>835</v>
      </c>
      <c r="Z40" s="354" t="s">
        <v>383</v>
      </c>
      <c r="AA40" s="354" t="s">
        <v>412</v>
      </c>
      <c r="AB40" s="354" t="s">
        <v>109</v>
      </c>
      <c r="AC40" s="354" t="s">
        <v>572</v>
      </c>
      <c r="AD40" s="354"/>
      <c r="AE40" s="354"/>
      <c r="AF40" s="355"/>
      <c r="AG40" s="355" t="s">
        <v>591</v>
      </c>
      <c r="AH40" s="355"/>
      <c r="AI40" s="355"/>
      <c r="AJ40" s="356">
        <v>90</v>
      </c>
      <c r="AK40" s="356"/>
      <c r="AL40" s="356"/>
    </row>
    <row r="41" spans="1:38" ht="168" customHeight="1" thickBot="1">
      <c r="A41" s="239" t="s">
        <v>102</v>
      </c>
      <c r="B41" s="258" t="s">
        <v>343</v>
      </c>
      <c r="C41" s="247" t="s">
        <v>87</v>
      </c>
      <c r="D41" s="248" t="s">
        <v>138</v>
      </c>
      <c r="E41" s="249">
        <v>45352</v>
      </c>
      <c r="F41" s="268" t="s">
        <v>481</v>
      </c>
      <c r="G41" s="268"/>
      <c r="H41" s="269" t="s">
        <v>31</v>
      </c>
      <c r="I41" s="270"/>
      <c r="J41" s="279" t="s">
        <v>481</v>
      </c>
      <c r="K41" s="271"/>
      <c r="L41" s="272"/>
      <c r="M41" s="269" t="s">
        <v>31</v>
      </c>
      <c r="N41" s="270"/>
      <c r="O41" s="271" t="s">
        <v>757</v>
      </c>
      <c r="P41" s="273"/>
      <c r="Q41" s="328"/>
      <c r="R41" s="269" t="s">
        <v>31</v>
      </c>
      <c r="S41" s="270"/>
      <c r="T41" s="337" t="s">
        <v>907</v>
      </c>
      <c r="U41" s="377"/>
      <c r="V41" s="361" t="s">
        <v>22</v>
      </c>
      <c r="W41" s="352"/>
      <c r="X41" s="363"/>
      <c r="Y41" s="354" t="s">
        <v>835</v>
      </c>
      <c r="Z41" s="354" t="s">
        <v>383</v>
      </c>
      <c r="AA41" s="354" t="s">
        <v>412</v>
      </c>
      <c r="AB41" s="354" t="s">
        <v>109</v>
      </c>
      <c r="AC41" s="354" t="s">
        <v>572</v>
      </c>
      <c r="AD41" s="354"/>
      <c r="AE41" s="354"/>
      <c r="AF41" s="355"/>
      <c r="AG41" s="355" t="s">
        <v>591</v>
      </c>
      <c r="AH41" s="355"/>
      <c r="AI41" s="355"/>
      <c r="AJ41" s="356">
        <v>91</v>
      </c>
      <c r="AK41" s="356"/>
      <c r="AL41" s="356"/>
    </row>
    <row r="42" spans="1:38" ht="168" customHeight="1" thickBot="1">
      <c r="A42" s="239" t="s">
        <v>102</v>
      </c>
      <c r="B42" s="258" t="s">
        <v>344</v>
      </c>
      <c r="C42" s="247" t="s">
        <v>136</v>
      </c>
      <c r="D42" s="248" t="s">
        <v>181</v>
      </c>
      <c r="E42" s="249">
        <v>45170</v>
      </c>
      <c r="F42" s="268" t="s">
        <v>482</v>
      </c>
      <c r="G42" s="268"/>
      <c r="H42" s="269" t="s">
        <v>31</v>
      </c>
      <c r="I42" s="270"/>
      <c r="J42" s="271" t="s">
        <v>693</v>
      </c>
      <c r="K42" s="271"/>
      <c r="L42" s="272"/>
      <c r="M42" s="269" t="s">
        <v>22</v>
      </c>
      <c r="N42" s="270"/>
      <c r="O42" s="271" t="s">
        <v>738</v>
      </c>
      <c r="P42" s="273"/>
      <c r="Q42" s="328"/>
      <c r="R42" s="269" t="s">
        <v>22</v>
      </c>
      <c r="S42" s="270"/>
      <c r="T42" s="337" t="s">
        <v>738</v>
      </c>
      <c r="U42" s="377"/>
      <c r="V42" s="361" t="s">
        <v>22</v>
      </c>
      <c r="W42" s="352"/>
      <c r="X42" s="353"/>
      <c r="Y42" s="354" t="s">
        <v>835</v>
      </c>
      <c r="Z42" s="354" t="s">
        <v>383</v>
      </c>
      <c r="AA42" s="354" t="s">
        <v>412</v>
      </c>
      <c r="AB42" s="354" t="s">
        <v>109</v>
      </c>
      <c r="AC42" s="354" t="s">
        <v>467</v>
      </c>
      <c r="AD42" s="354"/>
      <c r="AE42" s="354"/>
      <c r="AF42" s="355"/>
      <c r="AG42" s="355"/>
      <c r="AH42" s="355"/>
      <c r="AI42" s="355" t="s">
        <v>591</v>
      </c>
      <c r="AJ42" s="356">
        <v>92</v>
      </c>
      <c r="AK42" s="356"/>
      <c r="AL42" s="356"/>
    </row>
    <row r="43" spans="1:38" ht="168" customHeight="1" thickBot="1">
      <c r="A43" s="239" t="s">
        <v>102</v>
      </c>
      <c r="B43" s="258" t="s">
        <v>374</v>
      </c>
      <c r="C43" s="247" t="s">
        <v>165</v>
      </c>
      <c r="D43" s="248" t="s">
        <v>166</v>
      </c>
      <c r="E43" s="249">
        <v>45352</v>
      </c>
      <c r="F43" s="286" t="s">
        <v>487</v>
      </c>
      <c r="G43" s="268"/>
      <c r="H43" s="269" t="s">
        <v>31</v>
      </c>
      <c r="I43" s="270"/>
      <c r="J43" s="271" t="s">
        <v>659</v>
      </c>
      <c r="K43" s="271"/>
      <c r="L43" s="272"/>
      <c r="M43" s="269" t="s">
        <v>31</v>
      </c>
      <c r="N43" s="270"/>
      <c r="O43" s="273" t="s">
        <v>788</v>
      </c>
      <c r="P43" s="273"/>
      <c r="Q43" s="328"/>
      <c r="R43" s="269" t="s">
        <v>31</v>
      </c>
      <c r="S43" s="270"/>
      <c r="T43" s="337" t="s">
        <v>926</v>
      </c>
      <c r="U43" s="380"/>
      <c r="V43" s="361" t="s">
        <v>22</v>
      </c>
      <c r="W43" s="352" t="s">
        <v>927</v>
      </c>
      <c r="X43" s="363"/>
      <c r="Y43" s="354" t="s">
        <v>835</v>
      </c>
      <c r="Z43" s="354" t="s">
        <v>383</v>
      </c>
      <c r="AA43" s="354" t="s">
        <v>412</v>
      </c>
      <c r="AB43" s="354" t="s">
        <v>414</v>
      </c>
      <c r="AC43" s="355" t="s">
        <v>467</v>
      </c>
      <c r="AD43" s="354"/>
      <c r="AE43" s="354"/>
      <c r="AF43" s="355"/>
      <c r="AG43" s="355"/>
      <c r="AH43" s="355"/>
      <c r="AI43" s="355" t="s">
        <v>591</v>
      </c>
      <c r="AJ43" s="356">
        <v>126</v>
      </c>
      <c r="AK43" s="356"/>
      <c r="AL43" s="356"/>
    </row>
    <row r="44" spans="1:38" ht="168" customHeight="1" thickBot="1">
      <c r="A44" s="239" t="s">
        <v>102</v>
      </c>
      <c r="B44" s="258" t="s">
        <v>375</v>
      </c>
      <c r="C44" s="247" t="s">
        <v>188</v>
      </c>
      <c r="D44" s="248" t="s">
        <v>376</v>
      </c>
      <c r="E44" s="249">
        <v>45231</v>
      </c>
      <c r="F44" s="268" t="s">
        <v>484</v>
      </c>
      <c r="G44" s="268"/>
      <c r="H44" s="269" t="s">
        <v>31</v>
      </c>
      <c r="I44" s="270"/>
      <c r="J44" s="271" t="s">
        <v>658</v>
      </c>
      <c r="K44" s="300"/>
      <c r="L44" s="272"/>
      <c r="M44" s="269" t="s">
        <v>31</v>
      </c>
      <c r="N44" s="270"/>
      <c r="O44" s="273" t="s">
        <v>789</v>
      </c>
      <c r="P44" s="273"/>
      <c r="Q44" s="328"/>
      <c r="R44" s="269" t="s">
        <v>22</v>
      </c>
      <c r="S44" s="270"/>
      <c r="T44" s="337" t="s">
        <v>896</v>
      </c>
      <c r="U44" s="380"/>
      <c r="V44" s="361" t="s">
        <v>22</v>
      </c>
      <c r="W44" s="352"/>
      <c r="X44" s="353"/>
      <c r="Y44" s="354" t="s">
        <v>835</v>
      </c>
      <c r="Z44" s="354" t="s">
        <v>383</v>
      </c>
      <c r="AA44" s="354" t="s">
        <v>412</v>
      </c>
      <c r="AB44" s="354" t="s">
        <v>414</v>
      </c>
      <c r="AC44" s="354" t="s">
        <v>467</v>
      </c>
      <c r="AD44" s="354"/>
      <c r="AE44" s="354"/>
      <c r="AF44" s="355"/>
      <c r="AG44" s="355"/>
      <c r="AH44" s="355"/>
      <c r="AI44" s="355" t="s">
        <v>591</v>
      </c>
      <c r="AJ44" s="356">
        <v>127</v>
      </c>
      <c r="AK44" s="356"/>
      <c r="AL44" s="356"/>
    </row>
    <row r="45" spans="1:38" ht="168" customHeight="1" thickBot="1">
      <c r="A45" s="239" t="s">
        <v>102</v>
      </c>
      <c r="B45" s="258" t="s">
        <v>379</v>
      </c>
      <c r="C45" s="247" t="s">
        <v>189</v>
      </c>
      <c r="D45" s="248" t="s">
        <v>190</v>
      </c>
      <c r="E45" s="249">
        <v>45017</v>
      </c>
      <c r="F45" s="268" t="s">
        <v>483</v>
      </c>
      <c r="G45" s="268"/>
      <c r="H45" s="269" t="s">
        <v>22</v>
      </c>
      <c r="I45" s="270"/>
      <c r="J45" s="271" t="s">
        <v>620</v>
      </c>
      <c r="K45" s="277"/>
      <c r="L45" s="277"/>
      <c r="M45" s="269" t="s">
        <v>22</v>
      </c>
      <c r="N45" s="278"/>
      <c r="O45" s="271" t="s">
        <v>620</v>
      </c>
      <c r="P45" s="273"/>
      <c r="Q45" s="328"/>
      <c r="R45" s="269" t="s">
        <v>22</v>
      </c>
      <c r="S45" s="278"/>
      <c r="T45" s="337" t="s">
        <v>620</v>
      </c>
      <c r="U45" s="357"/>
      <c r="V45" s="361" t="s">
        <v>22</v>
      </c>
      <c r="W45" s="358"/>
      <c r="X45" s="353"/>
      <c r="Y45" s="354" t="s">
        <v>835</v>
      </c>
      <c r="Z45" s="354" t="s">
        <v>383</v>
      </c>
      <c r="AA45" s="354" t="s">
        <v>412</v>
      </c>
      <c r="AB45" s="354" t="s">
        <v>414</v>
      </c>
      <c r="AC45" s="354" t="s">
        <v>467</v>
      </c>
      <c r="AD45" s="354"/>
      <c r="AE45" s="354"/>
      <c r="AF45" s="355"/>
      <c r="AG45" s="355"/>
      <c r="AH45" s="355"/>
      <c r="AI45" s="355" t="s">
        <v>591</v>
      </c>
      <c r="AJ45" s="356">
        <v>130</v>
      </c>
      <c r="AK45" s="356"/>
      <c r="AL45" s="356"/>
    </row>
    <row r="46" spans="1:38" ht="168" customHeight="1" thickBot="1">
      <c r="A46" s="239" t="s">
        <v>102</v>
      </c>
      <c r="B46" s="258" t="s">
        <v>380</v>
      </c>
      <c r="C46" s="247" t="s">
        <v>191</v>
      </c>
      <c r="D46" s="248" t="s">
        <v>192</v>
      </c>
      <c r="E46" s="249">
        <v>45047</v>
      </c>
      <c r="F46" s="268" t="s">
        <v>550</v>
      </c>
      <c r="G46" s="268"/>
      <c r="H46" s="269" t="s">
        <v>22</v>
      </c>
      <c r="I46" s="270"/>
      <c r="J46" s="271" t="s">
        <v>620</v>
      </c>
      <c r="K46" s="277"/>
      <c r="L46" s="277"/>
      <c r="M46" s="269" t="s">
        <v>22</v>
      </c>
      <c r="N46" s="278"/>
      <c r="O46" s="271" t="s">
        <v>620</v>
      </c>
      <c r="P46" s="273"/>
      <c r="Q46" s="328"/>
      <c r="R46" s="269" t="s">
        <v>22</v>
      </c>
      <c r="S46" s="278"/>
      <c r="T46" s="337" t="s">
        <v>620</v>
      </c>
      <c r="U46" s="357"/>
      <c r="V46" s="361" t="s">
        <v>22</v>
      </c>
      <c r="W46" s="358"/>
      <c r="X46" s="363"/>
      <c r="Y46" s="354" t="s">
        <v>835</v>
      </c>
      <c r="Z46" s="354" t="s">
        <v>383</v>
      </c>
      <c r="AA46" s="354" t="s">
        <v>412</v>
      </c>
      <c r="AB46" s="354" t="s">
        <v>414</v>
      </c>
      <c r="AC46" s="354" t="s">
        <v>467</v>
      </c>
      <c r="AD46" s="354"/>
      <c r="AE46" s="354"/>
      <c r="AF46" s="355"/>
      <c r="AG46" s="355"/>
      <c r="AH46" s="355"/>
      <c r="AI46" s="355" t="s">
        <v>591</v>
      </c>
      <c r="AJ46" s="356">
        <v>131</v>
      </c>
      <c r="AK46" s="356"/>
      <c r="AL46" s="356"/>
    </row>
    <row r="47" spans="1:38" ht="168" customHeight="1" thickBot="1">
      <c r="A47" s="239" t="s">
        <v>102</v>
      </c>
      <c r="B47" s="258" t="s">
        <v>381</v>
      </c>
      <c r="C47" s="247" t="s">
        <v>98</v>
      </c>
      <c r="D47" s="248" t="s">
        <v>193</v>
      </c>
      <c r="E47" s="249" t="s">
        <v>194</v>
      </c>
      <c r="F47" s="268"/>
      <c r="G47" s="268"/>
      <c r="H47" s="269" t="s">
        <v>35</v>
      </c>
      <c r="I47" s="270"/>
      <c r="J47" s="272" t="s">
        <v>707</v>
      </c>
      <c r="K47" s="272"/>
      <c r="L47" s="272"/>
      <c r="M47" s="269" t="s">
        <v>31</v>
      </c>
      <c r="N47" s="270"/>
      <c r="O47" s="273" t="s">
        <v>790</v>
      </c>
      <c r="P47" s="331"/>
      <c r="Q47" s="332"/>
      <c r="R47" s="269" t="s">
        <v>22</v>
      </c>
      <c r="S47" s="270"/>
      <c r="T47" s="337" t="s">
        <v>896</v>
      </c>
      <c r="U47" s="377"/>
      <c r="V47" s="361" t="s">
        <v>22</v>
      </c>
      <c r="W47" s="352"/>
      <c r="X47" s="363"/>
      <c r="Y47" s="354" t="s">
        <v>389</v>
      </c>
      <c r="Z47" s="354" t="s">
        <v>390</v>
      </c>
      <c r="AA47" s="354" t="s">
        <v>412</v>
      </c>
      <c r="AB47" s="354" t="s">
        <v>414</v>
      </c>
      <c r="AC47" s="354" t="s">
        <v>467</v>
      </c>
      <c r="AD47" s="354"/>
      <c r="AE47" s="354"/>
      <c r="AF47" s="355"/>
      <c r="AG47" s="355"/>
      <c r="AH47" s="355"/>
      <c r="AI47" s="355" t="s">
        <v>591</v>
      </c>
      <c r="AJ47" s="356">
        <v>132</v>
      </c>
      <c r="AK47" s="356"/>
      <c r="AL47" s="356"/>
    </row>
    <row r="48" spans="1:38" ht="168" customHeight="1" thickBot="1">
      <c r="A48" s="239" t="s">
        <v>716</v>
      </c>
      <c r="B48" s="258" t="s">
        <v>371</v>
      </c>
      <c r="C48" s="247" t="s">
        <v>195</v>
      </c>
      <c r="D48" s="248" t="s">
        <v>196</v>
      </c>
      <c r="E48" s="249">
        <v>45323</v>
      </c>
      <c r="F48" s="268"/>
      <c r="G48" s="268"/>
      <c r="H48" s="269" t="s">
        <v>35</v>
      </c>
      <c r="I48" s="270"/>
      <c r="J48" s="272"/>
      <c r="K48" s="272"/>
      <c r="L48" s="272"/>
      <c r="M48" s="269" t="s">
        <v>35</v>
      </c>
      <c r="N48" s="270"/>
      <c r="O48" s="273" t="s">
        <v>825</v>
      </c>
      <c r="P48" s="273"/>
      <c r="Q48" s="328"/>
      <c r="R48" s="269" t="s">
        <v>31</v>
      </c>
      <c r="S48" s="270"/>
      <c r="T48" s="348" t="s">
        <v>852</v>
      </c>
      <c r="U48" s="359"/>
      <c r="V48" s="361" t="s">
        <v>22</v>
      </c>
      <c r="W48" s="362"/>
      <c r="X48" s="363"/>
      <c r="Y48" s="354" t="s">
        <v>833</v>
      </c>
      <c r="Z48" s="354" t="s">
        <v>402</v>
      </c>
      <c r="AA48" s="354" t="s">
        <v>412</v>
      </c>
      <c r="AB48" s="354" t="s">
        <v>204</v>
      </c>
      <c r="AC48" s="355" t="s">
        <v>467</v>
      </c>
      <c r="AD48" s="354"/>
      <c r="AE48" s="354"/>
      <c r="AF48" s="355"/>
      <c r="AG48" s="355"/>
      <c r="AH48" s="355"/>
      <c r="AI48" s="355" t="s">
        <v>591</v>
      </c>
      <c r="AJ48" s="356">
        <v>123</v>
      </c>
      <c r="AK48" s="356"/>
      <c r="AL48" s="356"/>
    </row>
    <row r="49" spans="1:38" ht="168" customHeight="1" thickBot="1">
      <c r="A49" s="239" t="s">
        <v>200</v>
      </c>
      <c r="B49" s="258" t="s">
        <v>206</v>
      </c>
      <c r="C49" s="247" t="s">
        <v>207</v>
      </c>
      <c r="D49" s="252" t="s">
        <v>208</v>
      </c>
      <c r="E49" s="249">
        <v>45352</v>
      </c>
      <c r="F49" s="268" t="s">
        <v>505</v>
      </c>
      <c r="G49" s="268"/>
      <c r="H49" s="269" t="s">
        <v>31</v>
      </c>
      <c r="I49" s="270"/>
      <c r="J49" s="271" t="s">
        <v>699</v>
      </c>
      <c r="K49" s="272"/>
      <c r="L49" s="272"/>
      <c r="M49" s="269" t="s">
        <v>31</v>
      </c>
      <c r="N49" s="270"/>
      <c r="O49" s="273" t="s">
        <v>736</v>
      </c>
      <c r="P49" s="273"/>
      <c r="Q49" s="328"/>
      <c r="R49" s="269" t="s">
        <v>31</v>
      </c>
      <c r="S49" s="270"/>
      <c r="T49" s="337" t="s">
        <v>898</v>
      </c>
      <c r="U49" s="359"/>
      <c r="V49" s="361" t="s">
        <v>22</v>
      </c>
      <c r="W49" s="362"/>
      <c r="X49" s="363"/>
      <c r="Y49" s="354" t="s">
        <v>201</v>
      </c>
      <c r="Z49" s="354" t="s">
        <v>382</v>
      </c>
      <c r="AA49" s="354" t="s">
        <v>403</v>
      </c>
      <c r="AB49" s="354" t="s">
        <v>201</v>
      </c>
      <c r="AC49" s="354" t="s">
        <v>201</v>
      </c>
      <c r="AD49" s="354" t="s">
        <v>467</v>
      </c>
      <c r="AE49" s="354"/>
      <c r="AF49" s="355"/>
      <c r="AG49" s="355"/>
      <c r="AH49" s="355" t="s">
        <v>591</v>
      </c>
      <c r="AI49" s="355" t="s">
        <v>591</v>
      </c>
      <c r="AJ49" s="356">
        <v>1</v>
      </c>
      <c r="AK49" s="356"/>
      <c r="AL49" s="356"/>
    </row>
    <row r="50" spans="1:38" ht="168" customHeight="1" thickBot="1">
      <c r="A50" s="239" t="s">
        <v>200</v>
      </c>
      <c r="B50" s="258" t="s">
        <v>237</v>
      </c>
      <c r="C50" s="247" t="s">
        <v>238</v>
      </c>
      <c r="D50" s="248" t="s">
        <v>239</v>
      </c>
      <c r="E50" s="249">
        <v>45108</v>
      </c>
      <c r="F50" s="268" t="s">
        <v>506</v>
      </c>
      <c r="G50" s="268"/>
      <c r="H50" s="269" t="s">
        <v>31</v>
      </c>
      <c r="I50" s="270"/>
      <c r="J50" s="271" t="s">
        <v>607</v>
      </c>
      <c r="K50" s="271"/>
      <c r="L50" s="272"/>
      <c r="M50" s="269" t="s">
        <v>22</v>
      </c>
      <c r="N50" s="278"/>
      <c r="O50" s="271" t="s">
        <v>737</v>
      </c>
      <c r="P50" s="273"/>
      <c r="Q50" s="328"/>
      <c r="R50" s="269" t="s">
        <v>22</v>
      </c>
      <c r="S50" s="270"/>
      <c r="T50" s="337" t="s">
        <v>918</v>
      </c>
      <c r="U50" s="359"/>
      <c r="V50" s="361" t="s">
        <v>22</v>
      </c>
      <c r="W50" s="362"/>
      <c r="X50" s="363"/>
      <c r="Y50" s="354" t="s">
        <v>201</v>
      </c>
      <c r="Z50" s="354" t="s">
        <v>382</v>
      </c>
      <c r="AA50" s="354" t="s">
        <v>404</v>
      </c>
      <c r="AB50" s="354" t="s">
        <v>201</v>
      </c>
      <c r="AC50" s="354" t="s">
        <v>201</v>
      </c>
      <c r="AD50" s="354"/>
      <c r="AE50" s="354"/>
      <c r="AF50" s="355"/>
      <c r="AG50" s="355"/>
      <c r="AH50" s="355" t="s">
        <v>591</v>
      </c>
      <c r="AI50" s="355"/>
      <c r="AJ50" s="356">
        <v>15</v>
      </c>
      <c r="AK50" s="356"/>
      <c r="AL50" s="356"/>
    </row>
    <row r="51" spans="1:38" ht="168" customHeight="1" thickBot="1">
      <c r="A51" s="239" t="s">
        <v>200</v>
      </c>
      <c r="B51" s="258" t="s">
        <v>240</v>
      </c>
      <c r="C51" s="247" t="s">
        <v>238</v>
      </c>
      <c r="D51" s="248" t="s">
        <v>241</v>
      </c>
      <c r="E51" s="249">
        <v>45170</v>
      </c>
      <c r="F51" s="268" t="s">
        <v>577</v>
      </c>
      <c r="G51" s="268"/>
      <c r="H51" s="269" t="s">
        <v>35</v>
      </c>
      <c r="I51" s="270"/>
      <c r="J51" s="303" t="s">
        <v>608</v>
      </c>
      <c r="K51" s="302"/>
      <c r="L51" s="302"/>
      <c r="M51" s="269" t="s">
        <v>22</v>
      </c>
      <c r="N51" s="278"/>
      <c r="O51" s="273" t="s">
        <v>737</v>
      </c>
      <c r="P51" s="273"/>
      <c r="Q51" s="328"/>
      <c r="R51" s="269" t="s">
        <v>22</v>
      </c>
      <c r="S51" s="278"/>
      <c r="T51" s="336" t="s">
        <v>738</v>
      </c>
      <c r="U51" s="357"/>
      <c r="V51" s="361" t="s">
        <v>22</v>
      </c>
      <c r="W51" s="358"/>
      <c r="X51" s="363"/>
      <c r="Y51" s="354" t="s">
        <v>201</v>
      </c>
      <c r="Z51" s="354" t="s">
        <v>382</v>
      </c>
      <c r="AA51" s="354" t="s">
        <v>404</v>
      </c>
      <c r="AB51" s="354" t="s">
        <v>201</v>
      </c>
      <c r="AC51" s="354" t="s">
        <v>201</v>
      </c>
      <c r="AD51" s="354"/>
      <c r="AE51" s="354"/>
      <c r="AF51" s="355"/>
      <c r="AG51" s="355"/>
      <c r="AH51" s="355" t="s">
        <v>591</v>
      </c>
      <c r="AI51" s="355"/>
      <c r="AJ51" s="356">
        <v>16</v>
      </c>
      <c r="AK51" s="356"/>
      <c r="AL51" s="356"/>
    </row>
    <row r="52" spans="1:38" ht="168" customHeight="1" thickBot="1">
      <c r="A52" s="239" t="s">
        <v>200</v>
      </c>
      <c r="B52" s="258" t="s">
        <v>271</v>
      </c>
      <c r="C52" s="247" t="s">
        <v>269</v>
      </c>
      <c r="D52" s="248" t="s">
        <v>272</v>
      </c>
      <c r="E52" s="249">
        <v>45108</v>
      </c>
      <c r="F52" s="268" t="s">
        <v>507</v>
      </c>
      <c r="G52" s="268"/>
      <c r="H52" s="269" t="s">
        <v>31</v>
      </c>
      <c r="I52" s="270"/>
      <c r="J52" s="303" t="s">
        <v>660</v>
      </c>
      <c r="K52" s="276"/>
      <c r="L52" s="277"/>
      <c r="M52" s="269" t="s">
        <v>22</v>
      </c>
      <c r="N52" s="278"/>
      <c r="O52" s="276" t="s">
        <v>739</v>
      </c>
      <c r="P52" s="273"/>
      <c r="Q52" s="328"/>
      <c r="R52" s="269" t="s">
        <v>22</v>
      </c>
      <c r="S52" s="278"/>
      <c r="T52" s="336" t="s">
        <v>738</v>
      </c>
      <c r="U52" s="357"/>
      <c r="V52" s="361" t="s">
        <v>22</v>
      </c>
      <c r="W52" s="358"/>
      <c r="X52" s="363"/>
      <c r="Y52" s="354" t="s">
        <v>201</v>
      </c>
      <c r="Z52" s="354" t="s">
        <v>382</v>
      </c>
      <c r="AA52" s="354" t="s">
        <v>406</v>
      </c>
      <c r="AB52" s="354" t="s">
        <v>109</v>
      </c>
      <c r="AC52" s="354" t="s">
        <v>201</v>
      </c>
      <c r="AD52" s="354"/>
      <c r="AE52" s="354"/>
      <c r="AF52" s="355"/>
      <c r="AG52" s="355"/>
      <c r="AH52" s="355" t="s">
        <v>591</v>
      </c>
      <c r="AI52" s="355"/>
      <c r="AJ52" s="356">
        <v>30</v>
      </c>
      <c r="AK52" s="356"/>
      <c r="AL52" s="356"/>
    </row>
    <row r="53" spans="1:38" ht="168" customHeight="1" thickBot="1">
      <c r="A53" s="239" t="s">
        <v>200</v>
      </c>
      <c r="B53" s="258" t="s">
        <v>273</v>
      </c>
      <c r="C53" s="247" t="s">
        <v>269</v>
      </c>
      <c r="D53" s="248" t="s">
        <v>274</v>
      </c>
      <c r="E53" s="249">
        <v>45108</v>
      </c>
      <c r="F53" s="268" t="s">
        <v>508</v>
      </c>
      <c r="G53" s="268"/>
      <c r="H53" s="269" t="s">
        <v>31</v>
      </c>
      <c r="I53" s="270"/>
      <c r="J53" s="276" t="s">
        <v>609</v>
      </c>
      <c r="K53" s="276"/>
      <c r="L53" s="277"/>
      <c r="M53" s="269" t="s">
        <v>22</v>
      </c>
      <c r="N53" s="278"/>
      <c r="O53" s="273" t="s">
        <v>738</v>
      </c>
      <c r="P53" s="273"/>
      <c r="Q53" s="328"/>
      <c r="R53" s="269" t="s">
        <v>22</v>
      </c>
      <c r="S53" s="278"/>
      <c r="T53" s="336" t="s">
        <v>918</v>
      </c>
      <c r="U53" s="357"/>
      <c r="V53" s="361" t="s">
        <v>22</v>
      </c>
      <c r="W53" s="358"/>
      <c r="X53" s="353"/>
      <c r="Y53" s="354" t="s">
        <v>201</v>
      </c>
      <c r="Z53" s="354" t="s">
        <v>382</v>
      </c>
      <c r="AA53" s="354" t="s">
        <v>406</v>
      </c>
      <c r="AB53" s="354" t="s">
        <v>109</v>
      </c>
      <c r="AC53" s="354" t="s">
        <v>201</v>
      </c>
      <c r="AD53" s="354"/>
      <c r="AE53" s="354"/>
      <c r="AF53" s="355"/>
      <c r="AG53" s="355"/>
      <c r="AH53" s="355" t="s">
        <v>591</v>
      </c>
      <c r="AI53" s="355"/>
      <c r="AJ53" s="356">
        <v>31</v>
      </c>
      <c r="AK53" s="356"/>
      <c r="AL53" s="356"/>
    </row>
    <row r="54" spans="1:38" ht="168" customHeight="1" thickBot="1">
      <c r="A54" s="239" t="s">
        <v>200</v>
      </c>
      <c r="B54" s="258" t="s">
        <v>275</v>
      </c>
      <c r="C54" s="247" t="s">
        <v>269</v>
      </c>
      <c r="D54" s="248" t="s">
        <v>276</v>
      </c>
      <c r="E54" s="249">
        <v>45170</v>
      </c>
      <c r="F54" s="268"/>
      <c r="G54" s="268"/>
      <c r="H54" s="269" t="s">
        <v>35</v>
      </c>
      <c r="I54" s="270"/>
      <c r="J54" s="271" t="s">
        <v>610</v>
      </c>
      <c r="K54" s="271"/>
      <c r="L54" s="272"/>
      <c r="M54" s="269" t="s">
        <v>22</v>
      </c>
      <c r="N54" s="270"/>
      <c r="O54" s="273" t="s">
        <v>738</v>
      </c>
      <c r="P54" s="273"/>
      <c r="Q54" s="328"/>
      <c r="R54" s="269" t="s">
        <v>22</v>
      </c>
      <c r="S54" s="270"/>
      <c r="T54" s="337" t="s">
        <v>918</v>
      </c>
      <c r="U54" s="359"/>
      <c r="V54" s="361" t="s">
        <v>22</v>
      </c>
      <c r="W54" s="367"/>
      <c r="X54" s="363"/>
      <c r="Y54" s="354" t="s">
        <v>201</v>
      </c>
      <c r="Z54" s="354" t="s">
        <v>382</v>
      </c>
      <c r="AA54" s="354" t="s">
        <v>406</v>
      </c>
      <c r="AB54" s="354" t="s">
        <v>201</v>
      </c>
      <c r="AC54" s="354" t="s">
        <v>201</v>
      </c>
      <c r="AD54" s="354"/>
      <c r="AE54" s="354"/>
      <c r="AF54" s="355"/>
      <c r="AG54" s="355"/>
      <c r="AH54" s="355" t="s">
        <v>591</v>
      </c>
      <c r="AI54" s="355"/>
      <c r="AJ54" s="356">
        <v>32</v>
      </c>
      <c r="AK54" s="356"/>
      <c r="AL54" s="356"/>
    </row>
    <row r="55" spans="1:38" ht="217.5" customHeight="1" thickBot="1">
      <c r="A55" s="239" t="s">
        <v>200</v>
      </c>
      <c r="B55" s="258" t="s">
        <v>345</v>
      </c>
      <c r="C55" s="247" t="s">
        <v>122</v>
      </c>
      <c r="D55" s="248" t="s">
        <v>465</v>
      </c>
      <c r="E55" s="249">
        <v>45170</v>
      </c>
      <c r="F55" s="268" t="s">
        <v>509</v>
      </c>
      <c r="G55" s="268"/>
      <c r="H55" s="341" t="s">
        <v>31</v>
      </c>
      <c r="I55" s="270"/>
      <c r="J55" s="271" t="s">
        <v>702</v>
      </c>
      <c r="K55" s="271"/>
      <c r="L55" s="272"/>
      <c r="M55" s="341" t="s">
        <v>26</v>
      </c>
      <c r="N55" s="270"/>
      <c r="O55" s="338" t="s">
        <v>845</v>
      </c>
      <c r="P55" s="338"/>
      <c r="Q55" s="338"/>
      <c r="R55" s="341" t="s">
        <v>33</v>
      </c>
      <c r="S55" s="270"/>
      <c r="T55" s="337" t="s">
        <v>937</v>
      </c>
      <c r="U55" s="337"/>
      <c r="V55" s="396" t="s">
        <v>28</v>
      </c>
      <c r="W55" s="362" t="s">
        <v>936</v>
      </c>
      <c r="X55" s="363"/>
      <c r="Y55" s="354" t="s">
        <v>201</v>
      </c>
      <c r="Z55" s="354" t="s">
        <v>382</v>
      </c>
      <c r="AA55" s="354" t="s">
        <v>412</v>
      </c>
      <c r="AB55" s="354" t="s">
        <v>201</v>
      </c>
      <c r="AC55" s="354" t="s">
        <v>201</v>
      </c>
      <c r="AD55" s="354"/>
      <c r="AE55" s="354"/>
      <c r="AF55" s="355"/>
      <c r="AG55" s="355"/>
      <c r="AH55" s="355" t="s">
        <v>591</v>
      </c>
      <c r="AI55" s="355"/>
      <c r="AJ55" s="356">
        <v>93</v>
      </c>
      <c r="AK55" s="356"/>
      <c r="AL55" s="356"/>
    </row>
    <row r="56" spans="1:38" ht="168" customHeight="1" thickBot="1">
      <c r="A56" s="239" t="s">
        <v>200</v>
      </c>
      <c r="B56" s="258" t="s">
        <v>346</v>
      </c>
      <c r="C56" s="247" t="s">
        <v>122</v>
      </c>
      <c r="D56" s="248" t="s">
        <v>123</v>
      </c>
      <c r="E56" s="249">
        <v>45352</v>
      </c>
      <c r="F56" s="268" t="s">
        <v>578</v>
      </c>
      <c r="G56" s="268"/>
      <c r="H56" s="269" t="s">
        <v>35</v>
      </c>
      <c r="I56" s="270"/>
      <c r="J56" s="272"/>
      <c r="K56" s="271"/>
      <c r="L56" s="272"/>
      <c r="M56" s="269" t="s">
        <v>35</v>
      </c>
      <c r="N56" s="270"/>
      <c r="O56" s="273" t="s">
        <v>740</v>
      </c>
      <c r="P56" s="273"/>
      <c r="Q56" s="328"/>
      <c r="R56" s="269" t="s">
        <v>31</v>
      </c>
      <c r="S56" s="270"/>
      <c r="T56" s="348" t="s">
        <v>862</v>
      </c>
      <c r="U56" s="359"/>
      <c r="V56" s="361" t="s">
        <v>22</v>
      </c>
      <c r="W56" s="362"/>
      <c r="X56" s="363"/>
      <c r="Y56" s="354" t="s">
        <v>201</v>
      </c>
      <c r="Z56" s="354" t="s">
        <v>382</v>
      </c>
      <c r="AA56" s="354" t="s">
        <v>412</v>
      </c>
      <c r="AB56" s="354" t="s">
        <v>201</v>
      </c>
      <c r="AC56" s="354" t="s">
        <v>201</v>
      </c>
      <c r="AD56" s="354"/>
      <c r="AE56" s="354"/>
      <c r="AF56" s="355"/>
      <c r="AG56" s="355"/>
      <c r="AH56" s="355" t="s">
        <v>591</v>
      </c>
      <c r="AI56" s="355"/>
      <c r="AJ56" s="356">
        <v>94</v>
      </c>
      <c r="AK56" s="356"/>
      <c r="AL56" s="356"/>
    </row>
    <row r="57" spans="1:38" ht="168" customHeight="1" thickBot="1">
      <c r="A57" s="239" t="s">
        <v>200</v>
      </c>
      <c r="B57" s="259" t="s">
        <v>347</v>
      </c>
      <c r="C57" s="247" t="s">
        <v>122</v>
      </c>
      <c r="D57" s="248" t="s">
        <v>124</v>
      </c>
      <c r="E57" s="249">
        <v>45352</v>
      </c>
      <c r="F57" s="268"/>
      <c r="G57" s="268"/>
      <c r="H57" s="269" t="s">
        <v>35</v>
      </c>
      <c r="I57" s="287"/>
      <c r="J57" s="272" t="s">
        <v>611</v>
      </c>
      <c r="K57" s="271"/>
      <c r="L57" s="272"/>
      <c r="M57" s="269" t="s">
        <v>31</v>
      </c>
      <c r="N57" s="270"/>
      <c r="O57" s="273" t="s">
        <v>734</v>
      </c>
      <c r="P57" s="273"/>
      <c r="Q57" s="328"/>
      <c r="R57" s="269" t="s">
        <v>31</v>
      </c>
      <c r="S57" s="270"/>
      <c r="T57" s="337" t="s">
        <v>899</v>
      </c>
      <c r="U57" s="359"/>
      <c r="V57" s="361" t="s">
        <v>22</v>
      </c>
      <c r="W57" s="362"/>
      <c r="X57" s="353"/>
      <c r="Y57" s="354" t="s">
        <v>201</v>
      </c>
      <c r="Z57" s="354" t="s">
        <v>382</v>
      </c>
      <c r="AA57" s="354" t="s">
        <v>412</v>
      </c>
      <c r="AB57" s="354" t="s">
        <v>201</v>
      </c>
      <c r="AC57" s="354" t="s">
        <v>201</v>
      </c>
      <c r="AD57" s="354"/>
      <c r="AE57" s="354"/>
      <c r="AF57" s="355"/>
      <c r="AG57" s="355"/>
      <c r="AH57" s="355" t="s">
        <v>591</v>
      </c>
      <c r="AI57" s="355"/>
      <c r="AJ57" s="356">
        <v>95</v>
      </c>
      <c r="AK57" s="356"/>
      <c r="AL57" s="356"/>
    </row>
    <row r="58" spans="1:38" ht="168" customHeight="1" thickBot="1">
      <c r="A58" s="239" t="s">
        <v>200</v>
      </c>
      <c r="B58" s="258" t="s">
        <v>348</v>
      </c>
      <c r="C58" s="247" t="s">
        <v>83</v>
      </c>
      <c r="D58" s="248" t="s">
        <v>349</v>
      </c>
      <c r="E58" s="249">
        <v>45170</v>
      </c>
      <c r="F58" s="268" t="s">
        <v>510</v>
      </c>
      <c r="G58" s="268"/>
      <c r="H58" s="269" t="s">
        <v>31</v>
      </c>
      <c r="I58" s="287"/>
      <c r="J58" s="271" t="s">
        <v>661</v>
      </c>
      <c r="K58" s="271"/>
      <c r="L58" s="272"/>
      <c r="M58" s="269" t="s">
        <v>22</v>
      </c>
      <c r="N58" s="270"/>
      <c r="O58" s="273" t="s">
        <v>738</v>
      </c>
      <c r="P58" s="273"/>
      <c r="Q58" s="328"/>
      <c r="R58" s="269" t="s">
        <v>22</v>
      </c>
      <c r="S58" s="270"/>
      <c r="T58" s="382" t="s">
        <v>772</v>
      </c>
      <c r="U58" s="359"/>
      <c r="V58" s="361" t="s">
        <v>22</v>
      </c>
      <c r="W58" s="362"/>
      <c r="X58" s="353"/>
      <c r="Y58" s="354" t="s">
        <v>201</v>
      </c>
      <c r="Z58" s="354" t="s">
        <v>382</v>
      </c>
      <c r="AA58" s="354" t="s">
        <v>412</v>
      </c>
      <c r="AB58" s="354" t="s">
        <v>201</v>
      </c>
      <c r="AC58" s="354" t="s">
        <v>201</v>
      </c>
      <c r="AD58" s="354"/>
      <c r="AE58" s="354"/>
      <c r="AF58" s="355"/>
      <c r="AG58" s="355"/>
      <c r="AH58" s="355" t="s">
        <v>591</v>
      </c>
      <c r="AI58" s="355"/>
      <c r="AJ58" s="356">
        <v>96</v>
      </c>
      <c r="AK58" s="356"/>
      <c r="AL58" s="356"/>
    </row>
    <row r="59" spans="1:38" ht="168" customHeight="1" thickBot="1">
      <c r="A59" s="239" t="s">
        <v>200</v>
      </c>
      <c r="B59" s="258" t="s">
        <v>350</v>
      </c>
      <c r="C59" s="247" t="s">
        <v>83</v>
      </c>
      <c r="D59" s="248" t="s">
        <v>119</v>
      </c>
      <c r="E59" s="249">
        <v>45139</v>
      </c>
      <c r="F59" s="268" t="s">
        <v>593</v>
      </c>
      <c r="G59" s="268"/>
      <c r="H59" s="269" t="s">
        <v>32</v>
      </c>
      <c r="I59" s="287"/>
      <c r="J59" s="271" t="s">
        <v>694</v>
      </c>
      <c r="K59" s="271"/>
      <c r="L59" s="272"/>
      <c r="M59" s="269" t="s">
        <v>26</v>
      </c>
      <c r="N59" s="270"/>
      <c r="O59" s="273" t="s">
        <v>846</v>
      </c>
      <c r="P59" s="273"/>
      <c r="Q59" s="328"/>
      <c r="R59" s="269" t="s">
        <v>26</v>
      </c>
      <c r="S59" s="270"/>
      <c r="T59" s="337" t="s">
        <v>900</v>
      </c>
      <c r="U59" s="359"/>
      <c r="V59" s="361" t="s">
        <v>26</v>
      </c>
      <c r="W59" s="362"/>
      <c r="X59" s="363"/>
      <c r="Y59" s="354" t="s">
        <v>201</v>
      </c>
      <c r="Z59" s="354" t="s">
        <v>382</v>
      </c>
      <c r="AA59" s="354" t="s">
        <v>412</v>
      </c>
      <c r="AB59" s="354" t="s">
        <v>201</v>
      </c>
      <c r="AC59" s="354" t="s">
        <v>201</v>
      </c>
      <c r="AD59" s="354"/>
      <c r="AE59" s="354"/>
      <c r="AF59" s="355"/>
      <c r="AG59" s="355"/>
      <c r="AH59" s="355" t="s">
        <v>591</v>
      </c>
      <c r="AI59" s="355"/>
      <c r="AJ59" s="356">
        <v>97</v>
      </c>
      <c r="AK59" s="356"/>
      <c r="AL59" s="356"/>
    </row>
    <row r="60" spans="1:38" ht="168" customHeight="1" thickBot="1">
      <c r="A60" s="239" t="s">
        <v>200</v>
      </c>
      <c r="B60" s="258" t="s">
        <v>351</v>
      </c>
      <c r="C60" s="247" t="s">
        <v>83</v>
      </c>
      <c r="D60" s="248" t="s">
        <v>121</v>
      </c>
      <c r="E60" s="249">
        <v>45323</v>
      </c>
      <c r="F60" s="268" t="s">
        <v>594</v>
      </c>
      <c r="G60" s="268"/>
      <c r="H60" s="269" t="s">
        <v>32</v>
      </c>
      <c r="I60" s="270"/>
      <c r="J60" s="271" t="s">
        <v>711</v>
      </c>
      <c r="K60" s="271"/>
      <c r="L60" s="272"/>
      <c r="M60" s="269" t="s">
        <v>30</v>
      </c>
      <c r="N60" s="270"/>
      <c r="O60" s="338" t="s">
        <v>791</v>
      </c>
      <c r="P60" s="273"/>
      <c r="Q60" s="328"/>
      <c r="R60" s="269" t="s">
        <v>30</v>
      </c>
      <c r="S60" s="270"/>
      <c r="T60" s="337" t="s">
        <v>791</v>
      </c>
      <c r="U60" s="359"/>
      <c r="V60" s="361" t="s">
        <v>30</v>
      </c>
      <c r="W60" s="362"/>
      <c r="X60" s="363"/>
      <c r="Y60" s="354" t="s">
        <v>201</v>
      </c>
      <c r="Z60" s="354" t="s">
        <v>382</v>
      </c>
      <c r="AA60" s="354" t="s">
        <v>412</v>
      </c>
      <c r="AB60" s="354" t="s">
        <v>201</v>
      </c>
      <c r="AC60" s="354" t="s">
        <v>201</v>
      </c>
      <c r="AD60" s="354"/>
      <c r="AE60" s="354"/>
      <c r="AF60" s="355"/>
      <c r="AG60" s="355"/>
      <c r="AH60" s="355" t="s">
        <v>591</v>
      </c>
      <c r="AI60" s="355"/>
      <c r="AJ60" s="356">
        <v>98</v>
      </c>
      <c r="AK60" s="356"/>
      <c r="AL60" s="356"/>
    </row>
    <row r="61" spans="1:38" ht="168" customHeight="1" thickBot="1">
      <c r="A61" s="239" t="s">
        <v>200</v>
      </c>
      <c r="B61" s="258" t="s">
        <v>352</v>
      </c>
      <c r="C61" s="247" t="s">
        <v>83</v>
      </c>
      <c r="D61" s="248" t="s">
        <v>120</v>
      </c>
      <c r="E61" s="249">
        <v>45108</v>
      </c>
      <c r="F61" s="268" t="s">
        <v>584</v>
      </c>
      <c r="G61" s="268"/>
      <c r="H61" s="269" t="s">
        <v>31</v>
      </c>
      <c r="I61" s="270"/>
      <c r="J61" s="271" t="s">
        <v>612</v>
      </c>
      <c r="K61" s="271"/>
      <c r="L61" s="272"/>
      <c r="M61" s="269" t="s">
        <v>22</v>
      </c>
      <c r="N61" s="270"/>
      <c r="O61" s="273" t="s">
        <v>738</v>
      </c>
      <c r="P61" s="273"/>
      <c r="Q61" s="328"/>
      <c r="R61" s="269" t="s">
        <v>22</v>
      </c>
      <c r="S61" s="270"/>
      <c r="T61" s="337" t="s">
        <v>918</v>
      </c>
      <c r="U61" s="359"/>
      <c r="V61" s="361" t="s">
        <v>22</v>
      </c>
      <c r="W61" s="362"/>
      <c r="X61" s="353"/>
      <c r="Y61" s="354" t="s">
        <v>201</v>
      </c>
      <c r="Z61" s="354" t="s">
        <v>382</v>
      </c>
      <c r="AA61" s="354" t="s">
        <v>412</v>
      </c>
      <c r="AB61" s="354" t="s">
        <v>201</v>
      </c>
      <c r="AC61" s="354" t="s">
        <v>201</v>
      </c>
      <c r="AD61" s="354"/>
      <c r="AE61" s="354"/>
      <c r="AF61" s="355"/>
      <c r="AG61" s="355"/>
      <c r="AH61" s="355" t="s">
        <v>591</v>
      </c>
      <c r="AI61" s="355"/>
      <c r="AJ61" s="356">
        <v>99</v>
      </c>
      <c r="AK61" s="356"/>
      <c r="AL61" s="356"/>
    </row>
    <row r="62" spans="1:38" ht="168" customHeight="1" thickBot="1">
      <c r="A62" s="239" t="s">
        <v>200</v>
      </c>
      <c r="B62" s="258" t="s">
        <v>353</v>
      </c>
      <c r="C62" s="247" t="s">
        <v>125</v>
      </c>
      <c r="D62" s="248" t="s">
        <v>354</v>
      </c>
      <c r="E62" s="249">
        <v>45108</v>
      </c>
      <c r="F62" s="268" t="s">
        <v>511</v>
      </c>
      <c r="G62" s="268"/>
      <c r="H62" s="269" t="s">
        <v>31</v>
      </c>
      <c r="I62" s="270"/>
      <c r="J62" s="271" t="s">
        <v>613</v>
      </c>
      <c r="K62" s="271"/>
      <c r="L62" s="272"/>
      <c r="M62" s="269" t="s">
        <v>22</v>
      </c>
      <c r="N62" s="270"/>
      <c r="O62" s="273" t="s">
        <v>738</v>
      </c>
      <c r="P62" s="273"/>
      <c r="Q62" s="328"/>
      <c r="R62" s="269" t="s">
        <v>22</v>
      </c>
      <c r="S62" s="270"/>
      <c r="T62" s="337" t="s">
        <v>918</v>
      </c>
      <c r="U62" s="359"/>
      <c r="V62" s="361" t="s">
        <v>22</v>
      </c>
      <c r="W62" s="362"/>
      <c r="X62" s="363"/>
      <c r="Y62" s="354" t="s">
        <v>201</v>
      </c>
      <c r="Z62" s="354" t="s">
        <v>382</v>
      </c>
      <c r="AA62" s="354" t="s">
        <v>412</v>
      </c>
      <c r="AB62" s="354" t="s">
        <v>201</v>
      </c>
      <c r="AC62" s="354" t="s">
        <v>201</v>
      </c>
      <c r="AD62" s="354"/>
      <c r="AE62" s="354"/>
      <c r="AF62" s="355"/>
      <c r="AG62" s="355"/>
      <c r="AH62" s="355" t="s">
        <v>591</v>
      </c>
      <c r="AI62" s="355"/>
      <c r="AJ62" s="356">
        <v>100</v>
      </c>
      <c r="AK62" s="356"/>
      <c r="AL62" s="356"/>
    </row>
    <row r="63" spans="1:38" ht="168" customHeight="1" thickBot="1">
      <c r="A63" s="239" t="s">
        <v>200</v>
      </c>
      <c r="B63" s="258" t="s">
        <v>355</v>
      </c>
      <c r="C63" s="247" t="s">
        <v>125</v>
      </c>
      <c r="D63" s="248" t="s">
        <v>356</v>
      </c>
      <c r="E63" s="249">
        <v>45108</v>
      </c>
      <c r="F63" s="268" t="s">
        <v>551</v>
      </c>
      <c r="G63" s="268"/>
      <c r="H63" s="269" t="s">
        <v>31</v>
      </c>
      <c r="I63" s="270" t="s">
        <v>552</v>
      </c>
      <c r="J63" s="271" t="s">
        <v>614</v>
      </c>
      <c r="K63" s="271"/>
      <c r="L63" s="272"/>
      <c r="M63" s="269" t="s">
        <v>22</v>
      </c>
      <c r="N63" s="310"/>
      <c r="O63" s="273" t="s">
        <v>738</v>
      </c>
      <c r="P63" s="273"/>
      <c r="Q63" s="328"/>
      <c r="R63" s="269" t="s">
        <v>22</v>
      </c>
      <c r="S63" s="270"/>
      <c r="T63" s="337" t="s">
        <v>918</v>
      </c>
      <c r="U63" s="359"/>
      <c r="V63" s="361" t="s">
        <v>22</v>
      </c>
      <c r="W63" s="362"/>
      <c r="X63" s="363"/>
      <c r="Y63" s="354" t="s">
        <v>201</v>
      </c>
      <c r="Z63" s="354" t="s">
        <v>382</v>
      </c>
      <c r="AA63" s="354" t="s">
        <v>412</v>
      </c>
      <c r="AB63" s="354" t="s">
        <v>201</v>
      </c>
      <c r="AC63" s="354" t="s">
        <v>201</v>
      </c>
      <c r="AD63" s="354"/>
      <c r="AE63" s="354"/>
      <c r="AF63" s="355"/>
      <c r="AG63" s="355"/>
      <c r="AH63" s="355" t="s">
        <v>591</v>
      </c>
      <c r="AI63" s="355"/>
      <c r="AJ63" s="356">
        <v>101</v>
      </c>
      <c r="AK63" s="356"/>
      <c r="AL63" s="356"/>
    </row>
    <row r="64" spans="1:38" ht="168" customHeight="1" thickBot="1">
      <c r="A64" s="239" t="s">
        <v>200</v>
      </c>
      <c r="B64" s="258" t="s">
        <v>357</v>
      </c>
      <c r="C64" s="247" t="s">
        <v>125</v>
      </c>
      <c r="D64" s="248" t="s">
        <v>358</v>
      </c>
      <c r="E64" s="249">
        <v>45170</v>
      </c>
      <c r="F64" s="268"/>
      <c r="G64" s="268"/>
      <c r="H64" s="269" t="s">
        <v>35</v>
      </c>
      <c r="I64" s="270"/>
      <c r="J64" s="271" t="s">
        <v>662</v>
      </c>
      <c r="K64" s="276"/>
      <c r="L64" s="277"/>
      <c r="M64" s="269" t="s">
        <v>22</v>
      </c>
      <c r="N64" s="278"/>
      <c r="O64" s="273" t="s">
        <v>738</v>
      </c>
      <c r="P64" s="273"/>
      <c r="Q64" s="328"/>
      <c r="R64" s="269" t="s">
        <v>22</v>
      </c>
      <c r="S64" s="278"/>
      <c r="T64" s="336" t="s">
        <v>918</v>
      </c>
      <c r="U64" s="357"/>
      <c r="V64" s="361" t="s">
        <v>22</v>
      </c>
      <c r="W64" s="358"/>
      <c r="X64" s="363"/>
      <c r="Y64" s="354" t="s">
        <v>201</v>
      </c>
      <c r="Z64" s="354" t="s">
        <v>382</v>
      </c>
      <c r="AA64" s="354" t="s">
        <v>412</v>
      </c>
      <c r="AB64" s="354" t="s">
        <v>201</v>
      </c>
      <c r="AC64" s="354" t="s">
        <v>201</v>
      </c>
      <c r="AD64" s="354"/>
      <c r="AE64" s="354"/>
      <c r="AF64" s="355"/>
      <c r="AG64" s="355"/>
      <c r="AH64" s="355" t="s">
        <v>591</v>
      </c>
      <c r="AI64" s="355"/>
      <c r="AJ64" s="356">
        <v>102</v>
      </c>
      <c r="AK64" s="356"/>
      <c r="AL64" s="356"/>
    </row>
    <row r="65" spans="1:38" ht="168" customHeight="1" thickBot="1">
      <c r="A65" s="239" t="s">
        <v>200</v>
      </c>
      <c r="B65" s="258" t="s">
        <v>359</v>
      </c>
      <c r="C65" s="247" t="s">
        <v>84</v>
      </c>
      <c r="D65" s="248" t="s">
        <v>360</v>
      </c>
      <c r="E65" s="249">
        <v>45352</v>
      </c>
      <c r="F65" s="268" t="s">
        <v>512</v>
      </c>
      <c r="G65" s="268"/>
      <c r="H65" s="269" t="s">
        <v>31</v>
      </c>
      <c r="I65" s="270"/>
      <c r="J65" s="271" t="s">
        <v>695</v>
      </c>
      <c r="K65" s="271"/>
      <c r="L65" s="272"/>
      <c r="M65" s="269" t="s">
        <v>31</v>
      </c>
      <c r="N65" s="270"/>
      <c r="O65" s="276" t="s">
        <v>735</v>
      </c>
      <c r="P65" s="273"/>
      <c r="Q65" s="328"/>
      <c r="R65" s="269" t="s">
        <v>31</v>
      </c>
      <c r="S65" s="270"/>
      <c r="T65" s="337" t="s">
        <v>901</v>
      </c>
      <c r="U65" s="359"/>
      <c r="V65" s="361" t="s">
        <v>22</v>
      </c>
      <c r="W65" s="362"/>
      <c r="X65" s="363"/>
      <c r="Y65" s="354" t="s">
        <v>201</v>
      </c>
      <c r="Z65" s="354" t="s">
        <v>382</v>
      </c>
      <c r="AA65" s="354" t="s">
        <v>412</v>
      </c>
      <c r="AB65" s="354" t="s">
        <v>201</v>
      </c>
      <c r="AC65" s="354" t="s">
        <v>201</v>
      </c>
      <c r="AD65" s="354"/>
      <c r="AE65" s="354"/>
      <c r="AF65" s="355"/>
      <c r="AG65" s="355"/>
      <c r="AH65" s="355" t="s">
        <v>591</v>
      </c>
      <c r="AI65" s="355"/>
      <c r="AJ65" s="356">
        <v>103</v>
      </c>
      <c r="AK65" s="356"/>
      <c r="AL65" s="356"/>
    </row>
    <row r="66" spans="1:38" ht="168" customHeight="1" thickBot="1">
      <c r="A66" s="239" t="s">
        <v>200</v>
      </c>
      <c r="B66" s="258" t="s">
        <v>361</v>
      </c>
      <c r="C66" s="247" t="s">
        <v>84</v>
      </c>
      <c r="D66" s="248" t="s">
        <v>126</v>
      </c>
      <c r="E66" s="249">
        <v>45352</v>
      </c>
      <c r="F66" s="268" t="s">
        <v>513</v>
      </c>
      <c r="G66" s="268"/>
      <c r="H66" s="269" t="s">
        <v>35</v>
      </c>
      <c r="I66" s="270"/>
      <c r="J66" s="276" t="s">
        <v>615</v>
      </c>
      <c r="K66" s="271"/>
      <c r="L66" s="272"/>
      <c r="M66" s="269" t="s">
        <v>31</v>
      </c>
      <c r="N66" s="270"/>
      <c r="O66" s="276"/>
      <c r="P66" s="273"/>
      <c r="Q66" s="328"/>
      <c r="R66" s="269" t="s">
        <v>35</v>
      </c>
      <c r="S66" s="270"/>
      <c r="T66" s="383" t="s">
        <v>902</v>
      </c>
      <c r="U66" s="359"/>
      <c r="V66" s="361" t="s">
        <v>22</v>
      </c>
      <c r="W66" s="362"/>
      <c r="X66" s="363"/>
      <c r="Y66" s="354" t="s">
        <v>201</v>
      </c>
      <c r="Z66" s="354" t="s">
        <v>382</v>
      </c>
      <c r="AA66" s="354" t="s">
        <v>412</v>
      </c>
      <c r="AB66" s="354" t="s">
        <v>201</v>
      </c>
      <c r="AC66" s="354" t="s">
        <v>467</v>
      </c>
      <c r="AD66" s="354" t="s">
        <v>201</v>
      </c>
      <c r="AE66" s="354"/>
      <c r="AF66" s="355"/>
      <c r="AG66" s="355"/>
      <c r="AH66" s="355" t="s">
        <v>591</v>
      </c>
      <c r="AI66" s="355" t="s">
        <v>591</v>
      </c>
      <c r="AJ66" s="356">
        <v>104</v>
      </c>
      <c r="AK66" s="356"/>
      <c r="AL66" s="356"/>
    </row>
    <row r="67" spans="1:38" ht="168" customHeight="1" thickBot="1">
      <c r="A67" s="239" t="s">
        <v>823</v>
      </c>
      <c r="B67" s="258" t="s">
        <v>372</v>
      </c>
      <c r="C67" s="247" t="s">
        <v>195</v>
      </c>
      <c r="D67" s="248" t="s">
        <v>197</v>
      </c>
      <c r="E67" s="249">
        <v>45323</v>
      </c>
      <c r="F67" s="286" t="s">
        <v>469</v>
      </c>
      <c r="G67" s="268"/>
      <c r="H67" s="269" t="s">
        <v>35</v>
      </c>
      <c r="I67" s="270"/>
      <c r="J67" s="317" t="s">
        <v>599</v>
      </c>
      <c r="K67" s="271"/>
      <c r="L67" s="272"/>
      <c r="M67" s="269" t="s">
        <v>31</v>
      </c>
      <c r="N67" s="270"/>
      <c r="O67" s="273" t="s">
        <v>824</v>
      </c>
      <c r="P67" s="273"/>
      <c r="Q67" s="328"/>
      <c r="R67" s="269" t="s">
        <v>31</v>
      </c>
      <c r="S67" s="270"/>
      <c r="T67" s="348" t="s">
        <v>852</v>
      </c>
      <c r="U67" s="359"/>
      <c r="V67" s="361" t="s">
        <v>22</v>
      </c>
      <c r="W67" s="362"/>
      <c r="X67" s="353"/>
      <c r="Y67" s="354" t="s">
        <v>833</v>
      </c>
      <c r="Z67" s="354" t="s">
        <v>402</v>
      </c>
      <c r="AA67" s="354" t="s">
        <v>412</v>
      </c>
      <c r="AB67" s="354" t="s">
        <v>204</v>
      </c>
      <c r="AC67" s="354" t="s">
        <v>467</v>
      </c>
      <c r="AD67" s="354"/>
      <c r="AE67" s="354"/>
      <c r="AF67" s="355"/>
      <c r="AG67" s="355"/>
      <c r="AH67" s="355"/>
      <c r="AI67" s="355" t="s">
        <v>591</v>
      </c>
      <c r="AJ67" s="356">
        <v>124</v>
      </c>
      <c r="AK67" s="356"/>
      <c r="AL67" s="356"/>
    </row>
    <row r="68" spans="1:38" ht="168" customHeight="1" thickBot="1">
      <c r="A68" s="239" t="s">
        <v>823</v>
      </c>
      <c r="B68" s="258" t="s">
        <v>373</v>
      </c>
      <c r="C68" s="247" t="s">
        <v>195</v>
      </c>
      <c r="D68" s="248" t="s">
        <v>198</v>
      </c>
      <c r="E68" s="249">
        <v>45352</v>
      </c>
      <c r="F68" s="286"/>
      <c r="G68" s="268"/>
      <c r="H68" s="269" t="s">
        <v>35</v>
      </c>
      <c r="I68" s="287"/>
      <c r="J68" s="271" t="s">
        <v>665</v>
      </c>
      <c r="K68" s="271"/>
      <c r="L68" s="272"/>
      <c r="M68" s="269" t="s">
        <v>31</v>
      </c>
      <c r="N68" s="270"/>
      <c r="O68" s="342"/>
      <c r="P68" s="273"/>
      <c r="Q68" s="328"/>
      <c r="R68" s="269" t="s">
        <v>31</v>
      </c>
      <c r="S68" s="270"/>
      <c r="T68" s="348" t="s">
        <v>854</v>
      </c>
      <c r="U68" s="359"/>
      <c r="V68" s="361" t="s">
        <v>22</v>
      </c>
      <c r="W68" s="349" t="s">
        <v>853</v>
      </c>
      <c r="X68" s="363"/>
      <c r="Y68" s="354" t="s">
        <v>833</v>
      </c>
      <c r="Z68" s="354" t="s">
        <v>402</v>
      </c>
      <c r="AA68" s="354" t="s">
        <v>412</v>
      </c>
      <c r="AB68" s="354" t="s">
        <v>204</v>
      </c>
      <c r="AC68" s="354" t="s">
        <v>467</v>
      </c>
      <c r="AD68" s="354"/>
      <c r="AE68" s="354"/>
      <c r="AF68" s="355"/>
      <c r="AG68" s="355"/>
      <c r="AH68" s="355"/>
      <c r="AI68" s="355" t="s">
        <v>591</v>
      </c>
      <c r="AJ68" s="356">
        <v>125</v>
      </c>
      <c r="AK68" s="356"/>
      <c r="AL68" s="356"/>
    </row>
    <row r="69" spans="1:38" ht="168" customHeight="1" thickBot="1">
      <c r="A69" s="239" t="s">
        <v>104</v>
      </c>
      <c r="B69" s="258" t="s">
        <v>247</v>
      </c>
      <c r="C69" s="247" t="s">
        <v>248</v>
      </c>
      <c r="D69" s="248" t="s">
        <v>249</v>
      </c>
      <c r="E69" s="253" t="s">
        <v>250</v>
      </c>
      <c r="F69" s="268" t="s">
        <v>495</v>
      </c>
      <c r="G69" s="268"/>
      <c r="H69" s="269" t="s">
        <v>31</v>
      </c>
      <c r="I69" s="270"/>
      <c r="J69" s="271" t="s">
        <v>832</v>
      </c>
      <c r="K69" s="271"/>
      <c r="L69" s="272"/>
      <c r="M69" s="269" t="s">
        <v>31</v>
      </c>
      <c r="N69" s="270"/>
      <c r="O69" s="273" t="s">
        <v>826</v>
      </c>
      <c r="P69" s="273" t="s">
        <v>827</v>
      </c>
      <c r="Q69" s="328"/>
      <c r="R69" s="269" t="s">
        <v>31</v>
      </c>
      <c r="S69" s="270"/>
      <c r="T69" s="337" t="s">
        <v>911</v>
      </c>
      <c r="U69" s="359"/>
      <c r="V69" s="361" t="s">
        <v>22</v>
      </c>
      <c r="W69" s="352"/>
      <c r="X69" s="363"/>
      <c r="Y69" s="354" t="s">
        <v>837</v>
      </c>
      <c r="Z69" s="354" t="s">
        <v>391</v>
      </c>
      <c r="AA69" s="354" t="s">
        <v>405</v>
      </c>
      <c r="AB69" s="354" t="s">
        <v>202</v>
      </c>
      <c r="AC69" s="354" t="s">
        <v>468</v>
      </c>
      <c r="AD69" s="354" t="s">
        <v>467</v>
      </c>
      <c r="AE69" s="354" t="s">
        <v>572</v>
      </c>
      <c r="AF69" s="355" t="s">
        <v>591</v>
      </c>
      <c r="AG69" s="355" t="s">
        <v>591</v>
      </c>
      <c r="AH69" s="355"/>
      <c r="AI69" s="355" t="s">
        <v>591</v>
      </c>
      <c r="AJ69" s="356">
        <v>19</v>
      </c>
      <c r="AK69" s="356"/>
      <c r="AL69" s="356"/>
    </row>
    <row r="70" spans="1:38" ht="168" customHeight="1" thickBot="1">
      <c r="A70" s="239" t="s">
        <v>104</v>
      </c>
      <c r="B70" s="258" t="s">
        <v>251</v>
      </c>
      <c r="C70" s="247" t="s">
        <v>248</v>
      </c>
      <c r="D70" s="248" t="s">
        <v>252</v>
      </c>
      <c r="E70" s="253" t="s">
        <v>250</v>
      </c>
      <c r="F70" s="268" t="s">
        <v>496</v>
      </c>
      <c r="G70" s="268"/>
      <c r="H70" s="269" t="s">
        <v>31</v>
      </c>
      <c r="I70" s="270"/>
      <c r="J70" s="271" t="s">
        <v>696</v>
      </c>
      <c r="K70" s="271"/>
      <c r="L70" s="272"/>
      <c r="M70" s="269" t="s">
        <v>31</v>
      </c>
      <c r="N70" s="270"/>
      <c r="O70" s="273" t="s">
        <v>725</v>
      </c>
      <c r="P70" s="273" t="s">
        <v>792</v>
      </c>
      <c r="Q70" s="328" t="s">
        <v>793</v>
      </c>
      <c r="R70" s="269" t="s">
        <v>31</v>
      </c>
      <c r="S70" s="270"/>
      <c r="T70" s="337" t="s">
        <v>912</v>
      </c>
      <c r="U70" s="359"/>
      <c r="V70" s="361" t="s">
        <v>22</v>
      </c>
      <c r="W70" s="352"/>
      <c r="X70" s="353"/>
      <c r="Y70" s="354" t="s">
        <v>837</v>
      </c>
      <c r="Z70" s="354" t="s">
        <v>391</v>
      </c>
      <c r="AA70" s="354" t="s">
        <v>405</v>
      </c>
      <c r="AB70" s="354" t="s">
        <v>202</v>
      </c>
      <c r="AC70" s="354" t="s">
        <v>468</v>
      </c>
      <c r="AD70" s="354" t="s">
        <v>572</v>
      </c>
      <c r="AE70" s="354"/>
      <c r="AF70" s="355" t="s">
        <v>591</v>
      </c>
      <c r="AG70" s="355" t="s">
        <v>591</v>
      </c>
      <c r="AH70" s="355"/>
      <c r="AI70" s="355"/>
      <c r="AJ70" s="356">
        <v>20</v>
      </c>
      <c r="AK70" s="356"/>
      <c r="AL70" s="356"/>
    </row>
    <row r="71" spans="1:38" ht="168" customHeight="1" thickBot="1">
      <c r="A71" s="239" t="s">
        <v>104</v>
      </c>
      <c r="B71" s="258" t="s">
        <v>287</v>
      </c>
      <c r="C71" s="247" t="s">
        <v>288</v>
      </c>
      <c r="D71" s="248" t="s">
        <v>289</v>
      </c>
      <c r="E71" s="249">
        <v>45170</v>
      </c>
      <c r="F71" s="268" t="s">
        <v>497</v>
      </c>
      <c r="G71" s="268"/>
      <c r="H71" s="269" t="s">
        <v>31</v>
      </c>
      <c r="I71" s="270"/>
      <c r="J71" s="271" t="s">
        <v>616</v>
      </c>
      <c r="K71" s="271"/>
      <c r="L71" s="272"/>
      <c r="M71" s="269" t="s">
        <v>31</v>
      </c>
      <c r="N71" s="278"/>
      <c r="O71" s="273" t="s">
        <v>794</v>
      </c>
      <c r="P71" s="273"/>
      <c r="Q71" s="328"/>
      <c r="R71" s="269" t="s">
        <v>22</v>
      </c>
      <c r="S71" s="270"/>
      <c r="T71" s="348" t="s">
        <v>859</v>
      </c>
      <c r="U71" s="359"/>
      <c r="V71" s="361" t="s">
        <v>22</v>
      </c>
      <c r="W71" s="362"/>
      <c r="X71" s="363"/>
      <c r="Y71" s="354" t="s">
        <v>837</v>
      </c>
      <c r="Z71" s="354" t="s">
        <v>396</v>
      </c>
      <c r="AA71" s="354" t="s">
        <v>407</v>
      </c>
      <c r="AB71" s="354" t="s">
        <v>202</v>
      </c>
      <c r="AC71" s="354" t="s">
        <v>468</v>
      </c>
      <c r="AD71" s="354"/>
      <c r="AE71" s="354"/>
      <c r="AF71" s="355" t="s">
        <v>591</v>
      </c>
      <c r="AG71" s="355"/>
      <c r="AH71" s="355"/>
      <c r="AI71" s="355"/>
      <c r="AJ71" s="356">
        <v>37</v>
      </c>
      <c r="AK71" s="356"/>
      <c r="AL71" s="356"/>
    </row>
    <row r="72" spans="1:38" ht="168" customHeight="1" thickBot="1">
      <c r="A72" s="239" t="s">
        <v>104</v>
      </c>
      <c r="B72" s="258" t="s">
        <v>293</v>
      </c>
      <c r="C72" s="247" t="s">
        <v>160</v>
      </c>
      <c r="D72" s="248" t="s">
        <v>161</v>
      </c>
      <c r="E72" s="253">
        <v>45108</v>
      </c>
      <c r="F72" s="268" t="s">
        <v>498</v>
      </c>
      <c r="G72" s="268"/>
      <c r="H72" s="269" t="s">
        <v>32</v>
      </c>
      <c r="I72" s="270" t="s">
        <v>565</v>
      </c>
      <c r="J72" s="344" t="s">
        <v>666</v>
      </c>
      <c r="K72" s="272"/>
      <c r="L72" s="272"/>
      <c r="M72" s="269" t="s">
        <v>26</v>
      </c>
      <c r="N72" s="270"/>
      <c r="O72" s="273" t="s">
        <v>848</v>
      </c>
      <c r="P72" s="273"/>
      <c r="Q72" s="273"/>
      <c r="R72" s="269" t="s">
        <v>26</v>
      </c>
      <c r="S72" s="270"/>
      <c r="T72" s="337" t="s">
        <v>933</v>
      </c>
      <c r="U72" s="359"/>
      <c r="V72" s="361" t="s">
        <v>26</v>
      </c>
      <c r="W72" s="352"/>
      <c r="X72" s="353"/>
      <c r="Y72" s="354" t="s">
        <v>837</v>
      </c>
      <c r="Z72" s="354" t="s">
        <v>397</v>
      </c>
      <c r="AA72" s="354" t="s">
        <v>412</v>
      </c>
      <c r="AB72" s="354" t="s">
        <v>202</v>
      </c>
      <c r="AC72" s="354" t="s">
        <v>467</v>
      </c>
      <c r="AD72" s="354"/>
      <c r="AE72" s="354"/>
      <c r="AF72" s="355"/>
      <c r="AG72" s="355"/>
      <c r="AH72" s="355"/>
      <c r="AI72" s="355" t="s">
        <v>591</v>
      </c>
      <c r="AJ72" s="356">
        <v>39</v>
      </c>
      <c r="AK72" s="356"/>
      <c r="AL72" s="356"/>
    </row>
    <row r="73" spans="1:38" ht="168" customHeight="1" thickBot="1">
      <c r="A73" s="239" t="s">
        <v>717</v>
      </c>
      <c r="B73" s="258" t="s">
        <v>456</v>
      </c>
      <c r="C73" s="247" t="s">
        <v>233</v>
      </c>
      <c r="D73" s="248" t="s">
        <v>459</v>
      </c>
      <c r="E73" s="249">
        <v>45200</v>
      </c>
      <c r="F73" s="268" t="s">
        <v>564</v>
      </c>
      <c r="G73" s="268"/>
      <c r="H73" s="269" t="s">
        <v>35</v>
      </c>
      <c r="I73" s="270"/>
      <c r="J73" s="271" t="s">
        <v>664</v>
      </c>
      <c r="K73" s="271"/>
      <c r="L73" s="272"/>
      <c r="M73" s="269" t="s">
        <v>31</v>
      </c>
      <c r="N73" s="270"/>
      <c r="O73" s="273" t="s">
        <v>795</v>
      </c>
      <c r="P73" s="273"/>
      <c r="Q73" s="328"/>
      <c r="R73" s="269" t="s">
        <v>22</v>
      </c>
      <c r="S73" s="270"/>
      <c r="T73" s="336" t="s">
        <v>919</v>
      </c>
      <c r="U73" s="357"/>
      <c r="V73" s="361" t="s">
        <v>22</v>
      </c>
      <c r="W73" s="358"/>
      <c r="X73" s="353"/>
      <c r="Y73" s="354" t="s">
        <v>833</v>
      </c>
      <c r="Z73" s="354" t="s">
        <v>387</v>
      </c>
      <c r="AA73" s="354" t="s">
        <v>404</v>
      </c>
      <c r="AB73" s="354" t="s">
        <v>109</v>
      </c>
      <c r="AC73" s="354" t="s">
        <v>201</v>
      </c>
      <c r="AD73" s="354" t="s">
        <v>467</v>
      </c>
      <c r="AE73" s="354"/>
      <c r="AF73" s="355"/>
      <c r="AG73" s="355"/>
      <c r="AH73" s="355" t="s">
        <v>591</v>
      </c>
      <c r="AI73" s="355"/>
      <c r="AJ73" s="356">
        <v>12</v>
      </c>
      <c r="AK73" s="356"/>
      <c r="AL73" s="356"/>
    </row>
    <row r="74" spans="1:38" ht="168" customHeight="1" thickBot="1">
      <c r="A74" s="239" t="s">
        <v>101</v>
      </c>
      <c r="B74" s="258" t="s">
        <v>262</v>
      </c>
      <c r="C74" s="247" t="s">
        <v>254</v>
      </c>
      <c r="D74" s="254" t="s">
        <v>408</v>
      </c>
      <c r="E74" s="253" t="s">
        <v>250</v>
      </c>
      <c r="F74" s="268" t="s">
        <v>553</v>
      </c>
      <c r="G74" s="268"/>
      <c r="H74" s="269" t="s">
        <v>35</v>
      </c>
      <c r="I74" s="270"/>
      <c r="J74" s="279" t="s">
        <v>697</v>
      </c>
      <c r="K74" s="271"/>
      <c r="L74" s="272"/>
      <c r="M74" s="269" t="s">
        <v>31</v>
      </c>
      <c r="N74" s="270"/>
      <c r="O74" s="273" t="s">
        <v>796</v>
      </c>
      <c r="P74" s="273"/>
      <c r="Q74" s="328"/>
      <c r="R74" s="269" t="s">
        <v>22</v>
      </c>
      <c r="S74" s="270"/>
      <c r="T74" s="346" t="s">
        <v>919</v>
      </c>
      <c r="U74" s="359"/>
      <c r="V74" s="361" t="s">
        <v>22</v>
      </c>
      <c r="W74" s="362"/>
      <c r="X74" s="353"/>
      <c r="Y74" s="354" t="s">
        <v>835</v>
      </c>
      <c r="Z74" s="354" t="s">
        <v>398</v>
      </c>
      <c r="AA74" s="354" t="s">
        <v>405</v>
      </c>
      <c r="AB74" s="354" t="s">
        <v>110</v>
      </c>
      <c r="AC74" s="354" t="s">
        <v>468</v>
      </c>
      <c r="AD74" s="354"/>
      <c r="AE74" s="354"/>
      <c r="AF74" s="355" t="s">
        <v>591</v>
      </c>
      <c r="AG74" s="355"/>
      <c r="AH74" s="355"/>
      <c r="AI74" s="355"/>
      <c r="AJ74" s="356">
        <v>25</v>
      </c>
      <c r="AK74" s="356"/>
      <c r="AL74" s="356"/>
    </row>
    <row r="75" spans="1:38" ht="168" customHeight="1" thickBot="1">
      <c r="A75" s="239" t="s">
        <v>101</v>
      </c>
      <c r="B75" s="258" t="s">
        <v>263</v>
      </c>
      <c r="C75" s="247" t="s">
        <v>254</v>
      </c>
      <c r="D75" s="248" t="s">
        <v>264</v>
      </c>
      <c r="E75" s="253" t="s">
        <v>250</v>
      </c>
      <c r="F75" s="268" t="s">
        <v>553</v>
      </c>
      <c r="G75" s="268"/>
      <c r="H75" s="269" t="s">
        <v>35</v>
      </c>
      <c r="I75" s="270"/>
      <c r="J75" s="271" t="s">
        <v>641</v>
      </c>
      <c r="K75" s="271"/>
      <c r="L75" s="272"/>
      <c r="M75" s="269" t="s">
        <v>31</v>
      </c>
      <c r="N75" s="270"/>
      <c r="O75" s="273" t="s">
        <v>797</v>
      </c>
      <c r="P75" s="273"/>
      <c r="Q75" s="328"/>
      <c r="R75" s="269" t="s">
        <v>22</v>
      </c>
      <c r="S75" s="270"/>
      <c r="T75" s="337" t="s">
        <v>919</v>
      </c>
      <c r="U75" s="359"/>
      <c r="V75" s="361" t="s">
        <v>22</v>
      </c>
      <c r="W75" s="362"/>
      <c r="X75" s="363"/>
      <c r="Y75" s="354" t="s">
        <v>835</v>
      </c>
      <c r="Z75" s="354" t="s">
        <v>398</v>
      </c>
      <c r="AA75" s="354" t="s">
        <v>405</v>
      </c>
      <c r="AB75" s="354" t="s">
        <v>110</v>
      </c>
      <c r="AC75" s="354" t="s">
        <v>468</v>
      </c>
      <c r="AD75" s="354"/>
      <c r="AE75" s="354"/>
      <c r="AF75" s="355" t="s">
        <v>591</v>
      </c>
      <c r="AG75" s="355"/>
      <c r="AH75" s="355"/>
      <c r="AI75" s="355"/>
      <c r="AJ75" s="356">
        <v>26</v>
      </c>
      <c r="AK75" s="356"/>
      <c r="AL75" s="356"/>
    </row>
    <row r="76" spans="1:38" ht="168" customHeight="1" thickBot="1">
      <c r="A76" s="239" t="s">
        <v>101</v>
      </c>
      <c r="B76" s="258" t="s">
        <v>268</v>
      </c>
      <c r="C76" s="247" t="s">
        <v>269</v>
      </c>
      <c r="D76" s="248" t="s">
        <v>270</v>
      </c>
      <c r="E76" s="253">
        <v>45352</v>
      </c>
      <c r="F76" s="268" t="s">
        <v>566</v>
      </c>
      <c r="G76" s="268"/>
      <c r="H76" s="269" t="s">
        <v>35</v>
      </c>
      <c r="I76" s="270"/>
      <c r="J76" s="276" t="s">
        <v>706</v>
      </c>
      <c r="K76" s="272"/>
      <c r="L76" s="272"/>
      <c r="M76" s="269" t="s">
        <v>30</v>
      </c>
      <c r="N76" s="270"/>
      <c r="O76" s="338" t="s">
        <v>791</v>
      </c>
      <c r="P76" s="273"/>
      <c r="Q76" s="328"/>
      <c r="R76" s="269" t="s">
        <v>30</v>
      </c>
      <c r="S76" s="270"/>
      <c r="T76" s="337" t="s">
        <v>791</v>
      </c>
      <c r="U76" s="359"/>
      <c r="V76" s="361" t="s">
        <v>30</v>
      </c>
      <c r="W76" s="362"/>
      <c r="X76" s="353"/>
      <c r="Y76" s="354" t="s">
        <v>394</v>
      </c>
      <c r="Z76" s="354" t="s">
        <v>395</v>
      </c>
      <c r="AA76" s="354" t="s">
        <v>406</v>
      </c>
      <c r="AB76" s="354" t="s">
        <v>109</v>
      </c>
      <c r="AC76" s="354" t="s">
        <v>201</v>
      </c>
      <c r="AD76" s="354"/>
      <c r="AE76" s="354"/>
      <c r="AF76" s="355"/>
      <c r="AG76" s="355"/>
      <c r="AH76" s="355" t="s">
        <v>591</v>
      </c>
      <c r="AI76" s="355"/>
      <c r="AJ76" s="356">
        <v>29</v>
      </c>
      <c r="AK76" s="356"/>
      <c r="AL76" s="356"/>
    </row>
    <row r="77" spans="1:38" ht="168" customHeight="1" thickBot="1">
      <c r="A77" s="239" t="s">
        <v>101</v>
      </c>
      <c r="B77" s="258" t="s">
        <v>295</v>
      </c>
      <c r="C77" s="247" t="s">
        <v>296</v>
      </c>
      <c r="D77" s="248" t="s">
        <v>132</v>
      </c>
      <c r="E77" s="249">
        <v>45108</v>
      </c>
      <c r="F77" s="268" t="s">
        <v>561</v>
      </c>
      <c r="G77" s="268"/>
      <c r="H77" s="269" t="s">
        <v>22</v>
      </c>
      <c r="I77" s="270"/>
      <c r="J77" s="271" t="s">
        <v>668</v>
      </c>
      <c r="K77" s="271"/>
      <c r="L77" s="272"/>
      <c r="M77" s="269" t="s">
        <v>22</v>
      </c>
      <c r="N77" s="270"/>
      <c r="O77" s="271" t="s">
        <v>668</v>
      </c>
      <c r="P77" s="273"/>
      <c r="Q77" s="328"/>
      <c r="R77" s="269" t="s">
        <v>22</v>
      </c>
      <c r="S77" s="270"/>
      <c r="T77" s="337" t="s">
        <v>920</v>
      </c>
      <c r="U77" s="359"/>
      <c r="V77" s="361" t="s">
        <v>22</v>
      </c>
      <c r="W77" s="362"/>
      <c r="X77" s="353"/>
      <c r="Y77" s="354" t="s">
        <v>835</v>
      </c>
      <c r="Z77" s="354" t="s">
        <v>398</v>
      </c>
      <c r="AA77" s="354" t="s">
        <v>412</v>
      </c>
      <c r="AB77" s="354" t="s">
        <v>202</v>
      </c>
      <c r="AC77" s="354" t="s">
        <v>201</v>
      </c>
      <c r="AD77" s="354"/>
      <c r="AE77" s="354"/>
      <c r="AF77" s="355"/>
      <c r="AG77" s="355"/>
      <c r="AH77" s="355" t="s">
        <v>591</v>
      </c>
      <c r="AI77" s="355"/>
      <c r="AJ77" s="356">
        <v>41</v>
      </c>
      <c r="AK77" s="356"/>
      <c r="AL77" s="356"/>
    </row>
    <row r="78" spans="1:38" ht="168" customHeight="1" thickBot="1">
      <c r="A78" s="239" t="s">
        <v>101</v>
      </c>
      <c r="B78" s="258" t="s">
        <v>297</v>
      </c>
      <c r="C78" s="247" t="s">
        <v>296</v>
      </c>
      <c r="D78" s="248" t="s">
        <v>298</v>
      </c>
      <c r="E78" s="249">
        <v>45352</v>
      </c>
      <c r="F78" s="268" t="s">
        <v>554</v>
      </c>
      <c r="G78" s="268"/>
      <c r="H78" s="269" t="s">
        <v>31</v>
      </c>
      <c r="I78" s="270"/>
      <c r="J78" s="271" t="s">
        <v>667</v>
      </c>
      <c r="K78" s="271"/>
      <c r="L78" s="272"/>
      <c r="M78" s="269" t="s">
        <v>22</v>
      </c>
      <c r="N78" s="270"/>
      <c r="O78" s="344" t="s">
        <v>667</v>
      </c>
      <c r="P78" s="273"/>
      <c r="Q78" s="328"/>
      <c r="R78" s="269" t="s">
        <v>22</v>
      </c>
      <c r="S78" s="270"/>
      <c r="T78" s="337" t="s">
        <v>667</v>
      </c>
      <c r="U78" s="359"/>
      <c r="V78" s="361" t="s">
        <v>22</v>
      </c>
      <c r="W78" s="362"/>
      <c r="X78" s="363"/>
      <c r="Y78" s="354" t="s">
        <v>835</v>
      </c>
      <c r="Z78" s="354" t="s">
        <v>398</v>
      </c>
      <c r="AA78" s="354" t="s">
        <v>412</v>
      </c>
      <c r="AB78" s="354" t="s">
        <v>202</v>
      </c>
      <c r="AC78" s="354" t="s">
        <v>201</v>
      </c>
      <c r="AD78" s="354"/>
      <c r="AE78" s="354"/>
      <c r="AF78" s="355"/>
      <c r="AG78" s="355"/>
      <c r="AH78" s="355" t="s">
        <v>591</v>
      </c>
      <c r="AI78" s="355"/>
      <c r="AJ78" s="356">
        <v>42</v>
      </c>
      <c r="AK78" s="356"/>
      <c r="AL78" s="356"/>
    </row>
    <row r="79" spans="1:38" ht="168" customHeight="1" thickBot="1">
      <c r="A79" s="239" t="s">
        <v>101</v>
      </c>
      <c r="B79" s="258" t="s">
        <v>299</v>
      </c>
      <c r="C79" s="247" t="s">
        <v>296</v>
      </c>
      <c r="D79" s="248" t="s">
        <v>131</v>
      </c>
      <c r="E79" s="249">
        <v>45078</v>
      </c>
      <c r="F79" s="291" t="s">
        <v>555</v>
      </c>
      <c r="G79" s="290"/>
      <c r="H79" s="269" t="s">
        <v>22</v>
      </c>
      <c r="I79" s="270"/>
      <c r="J79" s="305" t="s">
        <v>668</v>
      </c>
      <c r="K79" s="271"/>
      <c r="L79" s="272"/>
      <c r="M79" s="269" t="s">
        <v>22</v>
      </c>
      <c r="N79" s="282"/>
      <c r="O79" s="305" t="s">
        <v>668</v>
      </c>
      <c r="P79" s="273"/>
      <c r="Q79" s="268"/>
      <c r="R79" s="269" t="s">
        <v>22</v>
      </c>
      <c r="S79" s="270"/>
      <c r="T79" s="375" t="s">
        <v>920</v>
      </c>
      <c r="U79" s="376"/>
      <c r="V79" s="361" t="s">
        <v>22</v>
      </c>
      <c r="W79" s="367"/>
      <c r="X79" s="363"/>
      <c r="Y79" s="354" t="s">
        <v>835</v>
      </c>
      <c r="Z79" s="354" t="s">
        <v>398</v>
      </c>
      <c r="AA79" s="354" t="s">
        <v>412</v>
      </c>
      <c r="AB79" s="354" t="s">
        <v>202</v>
      </c>
      <c r="AC79" s="354" t="s">
        <v>201</v>
      </c>
      <c r="AD79" s="354"/>
      <c r="AE79" s="354"/>
      <c r="AF79" s="355"/>
      <c r="AG79" s="355"/>
      <c r="AH79" s="355" t="s">
        <v>591</v>
      </c>
      <c r="AI79" s="355"/>
      <c r="AJ79" s="356">
        <v>43</v>
      </c>
      <c r="AK79" s="356"/>
      <c r="AL79" s="356"/>
    </row>
    <row r="80" spans="1:38" ht="168" customHeight="1" thickBot="1">
      <c r="A80" s="239" t="s">
        <v>101</v>
      </c>
      <c r="B80" s="258" t="s">
        <v>310</v>
      </c>
      <c r="C80" s="247" t="s">
        <v>91</v>
      </c>
      <c r="D80" s="248" t="s">
        <v>130</v>
      </c>
      <c r="E80" s="249">
        <v>45352</v>
      </c>
      <c r="F80" s="268" t="s">
        <v>556</v>
      </c>
      <c r="G80" s="268"/>
      <c r="H80" s="269" t="s">
        <v>35</v>
      </c>
      <c r="I80" s="270"/>
      <c r="J80" s="276" t="s">
        <v>670</v>
      </c>
      <c r="K80" s="277"/>
      <c r="L80" s="277"/>
      <c r="M80" s="269" t="s">
        <v>31</v>
      </c>
      <c r="N80" s="278"/>
      <c r="O80" s="338" t="s">
        <v>798</v>
      </c>
      <c r="P80" s="273"/>
      <c r="Q80" s="328"/>
      <c r="R80" s="269" t="s">
        <v>22</v>
      </c>
      <c r="S80" s="278"/>
      <c r="T80" s="336" t="s">
        <v>798</v>
      </c>
      <c r="U80" s="357"/>
      <c r="V80" s="361" t="s">
        <v>22</v>
      </c>
      <c r="W80" s="358"/>
      <c r="X80" s="363"/>
      <c r="Y80" s="354" t="s">
        <v>835</v>
      </c>
      <c r="Z80" s="354" t="s">
        <v>398</v>
      </c>
      <c r="AA80" s="354" t="s">
        <v>412</v>
      </c>
      <c r="AB80" s="354" t="s">
        <v>110</v>
      </c>
      <c r="AC80" s="354" t="s">
        <v>468</v>
      </c>
      <c r="AD80" s="354"/>
      <c r="AE80" s="354"/>
      <c r="AF80" s="355" t="s">
        <v>591</v>
      </c>
      <c r="AG80" s="355"/>
      <c r="AH80" s="355"/>
      <c r="AI80" s="355"/>
      <c r="AJ80" s="356">
        <v>54</v>
      </c>
      <c r="AK80" s="356"/>
      <c r="AL80" s="356"/>
    </row>
    <row r="81" spans="1:38" ht="168" customHeight="1" thickBot="1">
      <c r="A81" s="239" t="s">
        <v>101</v>
      </c>
      <c r="B81" s="258" t="s">
        <v>312</v>
      </c>
      <c r="C81" s="247" t="s">
        <v>91</v>
      </c>
      <c r="D81" s="248" t="s">
        <v>149</v>
      </c>
      <c r="E81" s="249">
        <v>45170</v>
      </c>
      <c r="F81" s="268" t="s">
        <v>557</v>
      </c>
      <c r="G81" s="268"/>
      <c r="H81" s="269" t="s">
        <v>35</v>
      </c>
      <c r="I81" s="270"/>
      <c r="J81" s="276" t="s">
        <v>669</v>
      </c>
      <c r="K81" s="276"/>
      <c r="L81" s="277"/>
      <c r="M81" s="269" t="s">
        <v>22</v>
      </c>
      <c r="N81" s="278"/>
      <c r="O81" s="276" t="s">
        <v>772</v>
      </c>
      <c r="P81" s="273"/>
      <c r="Q81" s="328"/>
      <c r="R81" s="269" t="s">
        <v>22</v>
      </c>
      <c r="S81" s="278"/>
      <c r="T81" s="336" t="s">
        <v>772</v>
      </c>
      <c r="U81" s="357"/>
      <c r="V81" s="361" t="s">
        <v>22</v>
      </c>
      <c r="W81" s="358"/>
      <c r="X81" s="363"/>
      <c r="Y81" s="354" t="s">
        <v>835</v>
      </c>
      <c r="Z81" s="354" t="s">
        <v>398</v>
      </c>
      <c r="AA81" s="354" t="s">
        <v>412</v>
      </c>
      <c r="AB81" s="354" t="s">
        <v>110</v>
      </c>
      <c r="AC81" s="354" t="s">
        <v>468</v>
      </c>
      <c r="AD81" s="354" t="s">
        <v>201</v>
      </c>
      <c r="AE81" s="354"/>
      <c r="AF81" s="355" t="s">
        <v>591</v>
      </c>
      <c r="AG81" s="355"/>
      <c r="AH81" s="355" t="s">
        <v>591</v>
      </c>
      <c r="AI81" s="355"/>
      <c r="AJ81" s="356">
        <v>56</v>
      </c>
      <c r="AK81" s="356"/>
      <c r="AL81" s="356"/>
    </row>
    <row r="82" spans="1:38" ht="168" customHeight="1" thickBot="1">
      <c r="A82" s="239" t="s">
        <v>101</v>
      </c>
      <c r="B82" s="258" t="s">
        <v>313</v>
      </c>
      <c r="C82" s="247" t="s">
        <v>91</v>
      </c>
      <c r="D82" s="248" t="s">
        <v>150</v>
      </c>
      <c r="E82" s="249">
        <v>45170</v>
      </c>
      <c r="F82" s="268" t="s">
        <v>558</v>
      </c>
      <c r="G82" s="268"/>
      <c r="H82" s="269" t="s">
        <v>22</v>
      </c>
      <c r="I82" s="270"/>
      <c r="J82" s="276" t="s">
        <v>558</v>
      </c>
      <c r="K82" s="271"/>
      <c r="L82" s="272"/>
      <c r="M82" s="269" t="s">
        <v>22</v>
      </c>
      <c r="N82" s="278"/>
      <c r="O82" s="276" t="s">
        <v>772</v>
      </c>
      <c r="P82" s="273"/>
      <c r="Q82" s="328"/>
      <c r="R82" s="269" t="s">
        <v>22</v>
      </c>
      <c r="S82" s="278"/>
      <c r="T82" s="336" t="s">
        <v>772</v>
      </c>
      <c r="U82" s="357"/>
      <c r="V82" s="361" t="s">
        <v>22</v>
      </c>
      <c r="W82" s="358"/>
      <c r="X82" s="363"/>
      <c r="Y82" s="354" t="s">
        <v>835</v>
      </c>
      <c r="Z82" s="354" t="s">
        <v>398</v>
      </c>
      <c r="AA82" s="354" t="s">
        <v>412</v>
      </c>
      <c r="AB82" s="354" t="s">
        <v>110</v>
      </c>
      <c r="AC82" s="354" t="s">
        <v>468</v>
      </c>
      <c r="AD82" s="354" t="s">
        <v>201</v>
      </c>
      <c r="AE82" s="354"/>
      <c r="AF82" s="355" t="s">
        <v>591</v>
      </c>
      <c r="AG82" s="355"/>
      <c r="AH82" s="355" t="s">
        <v>591</v>
      </c>
      <c r="AI82" s="355"/>
      <c r="AJ82" s="356">
        <v>57</v>
      </c>
      <c r="AK82" s="356"/>
      <c r="AL82" s="356"/>
    </row>
    <row r="83" spans="1:38" ht="168" customHeight="1" thickBot="1">
      <c r="A83" s="239" t="s">
        <v>101</v>
      </c>
      <c r="B83" s="258" t="s">
        <v>314</v>
      </c>
      <c r="C83" s="247" t="s">
        <v>91</v>
      </c>
      <c r="D83" s="248" t="s">
        <v>151</v>
      </c>
      <c r="E83" s="249">
        <v>45200</v>
      </c>
      <c r="F83" s="268" t="s">
        <v>557</v>
      </c>
      <c r="G83" s="268"/>
      <c r="H83" s="269" t="s">
        <v>35</v>
      </c>
      <c r="I83" s="270"/>
      <c r="J83" s="276" t="s">
        <v>671</v>
      </c>
      <c r="K83" s="276"/>
      <c r="L83" s="277"/>
      <c r="M83" s="269" t="s">
        <v>22</v>
      </c>
      <c r="N83" s="278"/>
      <c r="O83" s="276" t="s">
        <v>772</v>
      </c>
      <c r="P83" s="273"/>
      <c r="Q83" s="328"/>
      <c r="R83" s="269" t="s">
        <v>22</v>
      </c>
      <c r="S83" s="278"/>
      <c r="T83" s="384" t="s">
        <v>772</v>
      </c>
      <c r="U83" s="336"/>
      <c r="V83" s="361" t="s">
        <v>22</v>
      </c>
      <c r="W83" s="358"/>
      <c r="X83" s="353"/>
      <c r="Y83" s="354" t="s">
        <v>835</v>
      </c>
      <c r="Z83" s="354" t="s">
        <v>398</v>
      </c>
      <c r="AA83" s="354" t="s">
        <v>412</v>
      </c>
      <c r="AB83" s="354" t="s">
        <v>110</v>
      </c>
      <c r="AC83" s="354" t="s">
        <v>468</v>
      </c>
      <c r="AD83" s="354"/>
      <c r="AE83" s="354"/>
      <c r="AF83" s="355" t="s">
        <v>591</v>
      </c>
      <c r="AG83" s="355"/>
      <c r="AH83" s="355"/>
      <c r="AI83" s="355"/>
      <c r="AJ83" s="356">
        <v>58</v>
      </c>
      <c r="AK83" s="356"/>
      <c r="AL83" s="356"/>
    </row>
    <row r="84" spans="1:38" ht="168" customHeight="1" thickBot="1">
      <c r="A84" s="239" t="s">
        <v>101</v>
      </c>
      <c r="B84" s="258" t="s">
        <v>315</v>
      </c>
      <c r="C84" s="247" t="s">
        <v>91</v>
      </c>
      <c r="D84" s="248" t="s">
        <v>175</v>
      </c>
      <c r="E84" s="249">
        <v>45261</v>
      </c>
      <c r="F84" s="268" t="s">
        <v>562</v>
      </c>
      <c r="G84" s="268"/>
      <c r="H84" s="269" t="s">
        <v>31</v>
      </c>
      <c r="I84" s="270"/>
      <c r="J84" s="276" t="s">
        <v>672</v>
      </c>
      <c r="K84" s="276"/>
      <c r="L84" s="277"/>
      <c r="M84" s="269" t="s">
        <v>31</v>
      </c>
      <c r="N84" s="278"/>
      <c r="O84" s="273" t="s">
        <v>799</v>
      </c>
      <c r="P84" s="273"/>
      <c r="Q84" s="328"/>
      <c r="R84" s="269" t="s">
        <v>22</v>
      </c>
      <c r="S84" s="278"/>
      <c r="T84" s="336" t="s">
        <v>921</v>
      </c>
      <c r="U84" s="336"/>
      <c r="V84" s="361" t="s">
        <v>22</v>
      </c>
      <c r="W84" s="358"/>
      <c r="X84" s="363"/>
      <c r="Y84" s="354" t="s">
        <v>835</v>
      </c>
      <c r="Z84" s="354" t="s">
        <v>398</v>
      </c>
      <c r="AA84" s="354" t="s">
        <v>412</v>
      </c>
      <c r="AB84" s="354" t="s">
        <v>110</v>
      </c>
      <c r="AC84" s="354" t="s">
        <v>468</v>
      </c>
      <c r="AD84" s="354"/>
      <c r="AE84" s="354"/>
      <c r="AF84" s="355" t="s">
        <v>591</v>
      </c>
      <c r="AG84" s="355"/>
      <c r="AH84" s="355"/>
      <c r="AI84" s="355"/>
      <c r="AJ84" s="356">
        <v>59</v>
      </c>
      <c r="AK84" s="356"/>
      <c r="AL84" s="356"/>
    </row>
    <row r="85" spans="1:38" ht="168" customHeight="1" thickBot="1">
      <c r="A85" s="239" t="s">
        <v>101</v>
      </c>
      <c r="B85" s="258" t="s">
        <v>316</v>
      </c>
      <c r="C85" s="247" t="s">
        <v>127</v>
      </c>
      <c r="D85" s="248" t="s">
        <v>128</v>
      </c>
      <c r="E85" s="249">
        <v>45352</v>
      </c>
      <c r="F85" s="268"/>
      <c r="G85" s="268"/>
      <c r="H85" s="269" t="s">
        <v>35</v>
      </c>
      <c r="I85" s="270"/>
      <c r="J85" s="276"/>
      <c r="K85" s="276"/>
      <c r="L85" s="277"/>
      <c r="M85" s="269" t="s">
        <v>35</v>
      </c>
      <c r="N85" s="278"/>
      <c r="O85" s="273"/>
      <c r="P85" s="273"/>
      <c r="Q85" s="328"/>
      <c r="R85" s="269" t="s">
        <v>35</v>
      </c>
      <c r="S85" s="278"/>
      <c r="T85" s="336" t="s">
        <v>909</v>
      </c>
      <c r="U85" s="336"/>
      <c r="V85" s="361" t="s">
        <v>22</v>
      </c>
      <c r="W85" s="358"/>
      <c r="X85" s="353"/>
      <c r="Y85" s="354" t="s">
        <v>835</v>
      </c>
      <c r="Z85" s="354" t="s">
        <v>398</v>
      </c>
      <c r="AA85" s="354" t="s">
        <v>412</v>
      </c>
      <c r="AB85" s="354" t="s">
        <v>110</v>
      </c>
      <c r="AC85" s="354" t="s">
        <v>468</v>
      </c>
      <c r="AD85" s="354"/>
      <c r="AE85" s="354"/>
      <c r="AF85" s="355" t="s">
        <v>591</v>
      </c>
      <c r="AG85" s="355"/>
      <c r="AH85" s="355"/>
      <c r="AI85" s="355"/>
      <c r="AJ85" s="356">
        <v>60</v>
      </c>
      <c r="AK85" s="356"/>
      <c r="AL85" s="356"/>
    </row>
    <row r="86" spans="1:38" ht="168" customHeight="1" thickBot="1">
      <c r="A86" s="239" t="s">
        <v>101</v>
      </c>
      <c r="B86" s="258" t="s">
        <v>317</v>
      </c>
      <c r="C86" s="247" t="s">
        <v>127</v>
      </c>
      <c r="D86" s="248" t="s">
        <v>129</v>
      </c>
      <c r="E86" s="249">
        <v>45352</v>
      </c>
      <c r="F86" s="268" t="s">
        <v>563</v>
      </c>
      <c r="G86" s="268"/>
      <c r="H86" s="269" t="s">
        <v>31</v>
      </c>
      <c r="I86" s="270"/>
      <c r="J86" s="276" t="s">
        <v>642</v>
      </c>
      <c r="K86" s="276"/>
      <c r="L86" s="277"/>
      <c r="M86" s="269" t="s">
        <v>31</v>
      </c>
      <c r="N86" s="307"/>
      <c r="O86" s="338" t="s">
        <v>800</v>
      </c>
      <c r="P86" s="273"/>
      <c r="Q86" s="328"/>
      <c r="R86" s="269" t="s">
        <v>22</v>
      </c>
      <c r="S86" s="278"/>
      <c r="T86" s="384" t="s">
        <v>924</v>
      </c>
      <c r="U86" s="336"/>
      <c r="V86" s="361" t="s">
        <v>22</v>
      </c>
      <c r="W86" s="358"/>
      <c r="X86" s="363"/>
      <c r="Y86" s="354" t="s">
        <v>835</v>
      </c>
      <c r="Z86" s="354" t="s">
        <v>398</v>
      </c>
      <c r="AA86" s="354" t="s">
        <v>412</v>
      </c>
      <c r="AB86" s="354" t="s">
        <v>110</v>
      </c>
      <c r="AC86" s="354" t="s">
        <v>468</v>
      </c>
      <c r="AD86" s="354" t="s">
        <v>572</v>
      </c>
      <c r="AE86" s="354"/>
      <c r="AF86" s="355" t="s">
        <v>591</v>
      </c>
      <c r="AG86" s="355" t="s">
        <v>591</v>
      </c>
      <c r="AH86" s="355"/>
      <c r="AI86" s="355"/>
      <c r="AJ86" s="356">
        <v>61</v>
      </c>
      <c r="AK86" s="356"/>
      <c r="AL86" s="356"/>
    </row>
    <row r="87" spans="1:38" ht="168" customHeight="1" thickBot="1">
      <c r="A87" s="239" t="s">
        <v>101</v>
      </c>
      <c r="B87" s="258" t="s">
        <v>318</v>
      </c>
      <c r="C87" s="247" t="s">
        <v>127</v>
      </c>
      <c r="D87" s="248" t="s">
        <v>174</v>
      </c>
      <c r="E87" s="255" t="s">
        <v>319</v>
      </c>
      <c r="F87" s="268" t="s">
        <v>559</v>
      </c>
      <c r="G87" s="268"/>
      <c r="H87" s="269" t="s">
        <v>31</v>
      </c>
      <c r="I87" s="270"/>
      <c r="J87" s="271" t="s">
        <v>673</v>
      </c>
      <c r="K87" s="284"/>
      <c r="L87" s="304"/>
      <c r="M87" s="269" t="s">
        <v>31</v>
      </c>
      <c r="N87" s="270"/>
      <c r="O87" s="344" t="s">
        <v>922</v>
      </c>
      <c r="P87" s="273"/>
      <c r="Q87" s="328"/>
      <c r="R87" s="269" t="s">
        <v>31</v>
      </c>
      <c r="S87" s="270"/>
      <c r="T87" s="385" t="s">
        <v>910</v>
      </c>
      <c r="U87" s="386"/>
      <c r="V87" s="361" t="s">
        <v>22</v>
      </c>
      <c r="W87" s="362"/>
      <c r="X87" s="363"/>
      <c r="Y87" s="354" t="s">
        <v>835</v>
      </c>
      <c r="Z87" s="354" t="s">
        <v>398</v>
      </c>
      <c r="AA87" s="354" t="s">
        <v>412</v>
      </c>
      <c r="AB87" s="354" t="s">
        <v>110</v>
      </c>
      <c r="AC87" s="354" t="s">
        <v>467</v>
      </c>
      <c r="AD87" s="354" t="s">
        <v>468</v>
      </c>
      <c r="AE87" s="354"/>
      <c r="AF87" s="355" t="s">
        <v>591</v>
      </c>
      <c r="AG87" s="355"/>
      <c r="AH87" s="355"/>
      <c r="AI87" s="355" t="s">
        <v>591</v>
      </c>
      <c r="AJ87" s="356">
        <v>62</v>
      </c>
      <c r="AK87" s="356"/>
      <c r="AL87" s="356"/>
    </row>
    <row r="88" spans="1:38" ht="168" customHeight="1" thickBot="1">
      <c r="A88" s="239" t="s">
        <v>101</v>
      </c>
      <c r="B88" s="258" t="s">
        <v>329</v>
      </c>
      <c r="C88" s="247" t="s">
        <v>182</v>
      </c>
      <c r="D88" s="248" t="s">
        <v>183</v>
      </c>
      <c r="E88" s="249">
        <v>45200</v>
      </c>
      <c r="F88" s="268"/>
      <c r="G88" s="268"/>
      <c r="H88" s="269" t="s">
        <v>35</v>
      </c>
      <c r="I88" s="270"/>
      <c r="J88" s="271" t="s">
        <v>643</v>
      </c>
      <c r="K88" s="271"/>
      <c r="L88" s="272"/>
      <c r="M88" s="269" t="s">
        <v>26</v>
      </c>
      <c r="N88" s="270"/>
      <c r="O88" s="338" t="s">
        <v>849</v>
      </c>
      <c r="P88" s="273"/>
      <c r="Q88" s="328"/>
      <c r="R88" s="269" t="s">
        <v>33</v>
      </c>
      <c r="S88" s="270"/>
      <c r="T88" s="337" t="s">
        <v>924</v>
      </c>
      <c r="U88" s="364"/>
      <c r="V88" s="361" t="s">
        <v>27</v>
      </c>
      <c r="W88" s="362"/>
      <c r="X88" s="353"/>
      <c r="Y88" s="354" t="s">
        <v>835</v>
      </c>
      <c r="Z88" s="354" t="s">
        <v>398</v>
      </c>
      <c r="AA88" s="354" t="s">
        <v>412</v>
      </c>
      <c r="AB88" s="354" t="s">
        <v>110</v>
      </c>
      <c r="AC88" s="354" t="s">
        <v>467</v>
      </c>
      <c r="AD88" s="354"/>
      <c r="AE88" s="354"/>
      <c r="AF88" s="355"/>
      <c r="AG88" s="355"/>
      <c r="AH88" s="355"/>
      <c r="AI88" s="355" t="s">
        <v>591</v>
      </c>
      <c r="AJ88" s="356">
        <v>76</v>
      </c>
      <c r="AK88" s="356"/>
      <c r="AL88" s="356"/>
    </row>
    <row r="89" spans="1:38" ht="168" customHeight="1" thickBot="1">
      <c r="A89" s="239" t="s">
        <v>101</v>
      </c>
      <c r="B89" s="258" t="s">
        <v>330</v>
      </c>
      <c r="C89" s="247" t="s">
        <v>143</v>
      </c>
      <c r="D89" s="248" t="s">
        <v>674</v>
      </c>
      <c r="E89" s="249">
        <v>45170</v>
      </c>
      <c r="F89" s="268" t="s">
        <v>560</v>
      </c>
      <c r="G89" s="268"/>
      <c r="H89" s="269" t="s">
        <v>31</v>
      </c>
      <c r="I89" s="287"/>
      <c r="J89" s="279" t="s">
        <v>644</v>
      </c>
      <c r="K89" s="271"/>
      <c r="L89" s="272"/>
      <c r="M89" s="269" t="s">
        <v>22</v>
      </c>
      <c r="N89" s="270"/>
      <c r="O89" s="279" t="s">
        <v>801</v>
      </c>
      <c r="P89" s="273"/>
      <c r="Q89" s="328"/>
      <c r="R89" s="269" t="s">
        <v>22</v>
      </c>
      <c r="S89" s="270"/>
      <c r="T89" s="384" t="s">
        <v>772</v>
      </c>
      <c r="U89" s="359"/>
      <c r="V89" s="361" t="s">
        <v>22</v>
      </c>
      <c r="W89" s="362"/>
      <c r="X89" s="363"/>
      <c r="Y89" s="354" t="s">
        <v>835</v>
      </c>
      <c r="Z89" s="354" t="s">
        <v>398</v>
      </c>
      <c r="AA89" s="354" t="s">
        <v>412</v>
      </c>
      <c r="AB89" s="354" t="s">
        <v>109</v>
      </c>
      <c r="AC89" s="354" t="s">
        <v>467</v>
      </c>
      <c r="AD89" s="354"/>
      <c r="AE89" s="354"/>
      <c r="AF89" s="355"/>
      <c r="AG89" s="355"/>
      <c r="AH89" s="355"/>
      <c r="AI89" s="355" t="s">
        <v>591</v>
      </c>
      <c r="AJ89" s="356">
        <v>77</v>
      </c>
      <c r="AK89" s="356"/>
      <c r="AL89" s="356"/>
    </row>
    <row r="90" spans="1:38" ht="168" customHeight="1" thickBot="1">
      <c r="A90" s="239" t="s">
        <v>103</v>
      </c>
      <c r="B90" s="258" t="s">
        <v>234</v>
      </c>
      <c r="C90" s="247" t="s">
        <v>235</v>
      </c>
      <c r="D90" s="248" t="s">
        <v>236</v>
      </c>
      <c r="E90" s="249">
        <v>45261</v>
      </c>
      <c r="F90" s="268" t="s">
        <v>501</v>
      </c>
      <c r="G90" s="268"/>
      <c r="H90" s="269" t="s">
        <v>31</v>
      </c>
      <c r="I90" s="270"/>
      <c r="J90" s="344" t="s">
        <v>501</v>
      </c>
      <c r="K90" s="276"/>
      <c r="L90" s="277"/>
      <c r="M90" s="269" t="s">
        <v>31</v>
      </c>
      <c r="N90" s="278"/>
      <c r="O90" s="273" t="s">
        <v>802</v>
      </c>
      <c r="P90" s="273"/>
      <c r="Q90" s="328"/>
      <c r="R90" s="269" t="s">
        <v>22</v>
      </c>
      <c r="S90" s="278"/>
      <c r="T90" s="336" t="s">
        <v>921</v>
      </c>
      <c r="U90" s="357"/>
      <c r="V90" s="361" t="s">
        <v>22</v>
      </c>
      <c r="W90" s="358"/>
      <c r="X90" s="363"/>
      <c r="Y90" s="354" t="s">
        <v>201</v>
      </c>
      <c r="Z90" s="354" t="s">
        <v>388</v>
      </c>
      <c r="AA90" s="354" t="s">
        <v>404</v>
      </c>
      <c r="AB90" s="354" t="s">
        <v>201</v>
      </c>
      <c r="AC90" s="354" t="s">
        <v>201</v>
      </c>
      <c r="AD90" s="354"/>
      <c r="AE90" s="354"/>
      <c r="AF90" s="355"/>
      <c r="AG90" s="355"/>
      <c r="AH90" s="355" t="s">
        <v>591</v>
      </c>
      <c r="AI90" s="355"/>
      <c r="AJ90" s="356">
        <v>14</v>
      </c>
      <c r="AK90" s="356"/>
      <c r="AL90" s="356"/>
    </row>
    <row r="91" spans="1:38" ht="168" customHeight="1" thickBot="1">
      <c r="A91" s="239" t="s">
        <v>103</v>
      </c>
      <c r="B91" s="258" t="s">
        <v>260</v>
      </c>
      <c r="C91" s="247" t="s">
        <v>254</v>
      </c>
      <c r="D91" s="248" t="s">
        <v>261</v>
      </c>
      <c r="E91" s="253" t="s">
        <v>250</v>
      </c>
      <c r="F91" s="268"/>
      <c r="G91" s="268"/>
      <c r="H91" s="269" t="s">
        <v>35</v>
      </c>
      <c r="I91" s="270"/>
      <c r="J91" s="271"/>
      <c r="K91" s="271"/>
      <c r="L91" s="272"/>
      <c r="M91" s="269" t="s">
        <v>31</v>
      </c>
      <c r="N91" s="270"/>
      <c r="O91" s="271" t="s">
        <v>803</v>
      </c>
      <c r="P91" s="273"/>
      <c r="Q91" s="328"/>
      <c r="R91" s="269" t="s">
        <v>22</v>
      </c>
      <c r="S91" s="270"/>
      <c r="T91" s="337" t="s">
        <v>921</v>
      </c>
      <c r="U91" s="359"/>
      <c r="V91" s="361" t="s">
        <v>22</v>
      </c>
      <c r="W91" s="362"/>
      <c r="X91" s="363"/>
      <c r="Y91" s="354" t="s">
        <v>201</v>
      </c>
      <c r="Z91" s="354" t="s">
        <v>392</v>
      </c>
      <c r="AA91" s="354" t="s">
        <v>405</v>
      </c>
      <c r="AB91" s="354" t="s">
        <v>110</v>
      </c>
      <c r="AC91" s="354" t="s">
        <v>468</v>
      </c>
      <c r="AD91" s="354" t="s">
        <v>201</v>
      </c>
      <c r="AE91" s="354"/>
      <c r="AF91" s="355" t="s">
        <v>591</v>
      </c>
      <c r="AG91" s="355"/>
      <c r="AH91" s="355" t="s">
        <v>591</v>
      </c>
      <c r="AI91" s="355"/>
      <c r="AJ91" s="356">
        <v>24</v>
      </c>
      <c r="AK91" s="356"/>
      <c r="AL91" s="356"/>
    </row>
    <row r="92" spans="1:38" ht="168" customHeight="1" thickBot="1">
      <c r="A92" s="239" t="s">
        <v>103</v>
      </c>
      <c r="B92" s="258" t="s">
        <v>366</v>
      </c>
      <c r="C92" s="247" t="s">
        <v>90</v>
      </c>
      <c r="D92" s="248" t="s">
        <v>187</v>
      </c>
      <c r="E92" s="249">
        <v>45231</v>
      </c>
      <c r="F92" s="288" t="s">
        <v>502</v>
      </c>
      <c r="G92" s="288"/>
      <c r="H92" s="269" t="s">
        <v>31</v>
      </c>
      <c r="I92" s="270"/>
      <c r="J92" s="289"/>
      <c r="K92" s="289"/>
      <c r="L92" s="288"/>
      <c r="M92" s="269" t="s">
        <v>31</v>
      </c>
      <c r="N92" s="270"/>
      <c r="O92" s="273" t="s">
        <v>754</v>
      </c>
      <c r="P92" s="273"/>
      <c r="Q92" s="328"/>
      <c r="R92" s="269" t="s">
        <v>22</v>
      </c>
      <c r="S92" s="278"/>
      <c r="T92" s="375" t="s">
        <v>921</v>
      </c>
      <c r="U92" s="387"/>
      <c r="V92" s="361" t="s">
        <v>22</v>
      </c>
      <c r="W92" s="358"/>
      <c r="X92" s="363"/>
      <c r="Y92" s="354" t="s">
        <v>201</v>
      </c>
      <c r="Z92" s="354" t="s">
        <v>388</v>
      </c>
      <c r="AA92" s="354" t="s">
        <v>412</v>
      </c>
      <c r="AB92" s="354" t="s">
        <v>201</v>
      </c>
      <c r="AC92" s="354" t="s">
        <v>467</v>
      </c>
      <c r="AD92" s="354"/>
      <c r="AE92" s="354"/>
      <c r="AF92" s="355"/>
      <c r="AG92" s="355"/>
      <c r="AH92" s="355"/>
      <c r="AI92" s="355" t="s">
        <v>591</v>
      </c>
      <c r="AJ92" s="356">
        <v>109</v>
      </c>
      <c r="AK92" s="356"/>
      <c r="AL92" s="356"/>
    </row>
    <row r="93" spans="1:38" ht="168" customHeight="1" thickBot="1">
      <c r="A93" s="239" t="s">
        <v>103</v>
      </c>
      <c r="B93" s="258" t="s">
        <v>444</v>
      </c>
      <c r="C93" s="247" t="s">
        <v>89</v>
      </c>
      <c r="D93" s="248" t="s">
        <v>445</v>
      </c>
      <c r="E93" s="249">
        <v>45352</v>
      </c>
      <c r="F93" s="288" t="s">
        <v>567</v>
      </c>
      <c r="G93" s="288"/>
      <c r="H93" s="269" t="s">
        <v>31</v>
      </c>
      <c r="I93" s="270"/>
      <c r="J93" s="312" t="s">
        <v>676</v>
      </c>
      <c r="K93" s="312"/>
      <c r="L93" s="306"/>
      <c r="M93" s="269" t="s">
        <v>31</v>
      </c>
      <c r="N93" s="278"/>
      <c r="O93" s="273" t="s">
        <v>805</v>
      </c>
      <c r="P93" s="273"/>
      <c r="Q93" s="328"/>
      <c r="R93" s="269" t="s">
        <v>22</v>
      </c>
      <c r="S93" s="278"/>
      <c r="T93" s="388" t="s">
        <v>921</v>
      </c>
      <c r="U93" s="387"/>
      <c r="V93" s="361" t="s">
        <v>22</v>
      </c>
      <c r="W93" s="358" t="s">
        <v>856</v>
      </c>
      <c r="X93" s="353"/>
      <c r="Y93" s="354" t="s">
        <v>201</v>
      </c>
      <c r="Z93" s="354" t="s">
        <v>388</v>
      </c>
      <c r="AA93" s="354" t="s">
        <v>412</v>
      </c>
      <c r="AB93" s="354" t="s">
        <v>201</v>
      </c>
      <c r="AC93" s="354" t="s">
        <v>467</v>
      </c>
      <c r="AD93" s="354"/>
      <c r="AE93" s="354"/>
      <c r="AF93" s="355"/>
      <c r="AG93" s="355"/>
      <c r="AH93" s="355"/>
      <c r="AI93" s="355" t="s">
        <v>591</v>
      </c>
      <c r="AJ93" s="356">
        <v>110</v>
      </c>
      <c r="AK93" s="356"/>
      <c r="AL93" s="356"/>
    </row>
    <row r="94" spans="1:38" ht="168" customHeight="1" thickBot="1">
      <c r="A94" s="239" t="s">
        <v>103</v>
      </c>
      <c r="B94" s="258" t="s">
        <v>447</v>
      </c>
      <c r="C94" s="247" t="s">
        <v>89</v>
      </c>
      <c r="D94" s="248" t="s">
        <v>446</v>
      </c>
      <c r="E94" s="249">
        <v>45352</v>
      </c>
      <c r="F94" s="288"/>
      <c r="G94" s="288"/>
      <c r="H94" s="269" t="s">
        <v>35</v>
      </c>
      <c r="I94" s="270"/>
      <c r="J94" s="312"/>
      <c r="K94" s="327"/>
      <c r="L94" s="306"/>
      <c r="M94" s="269" t="s">
        <v>35</v>
      </c>
      <c r="N94" s="278"/>
      <c r="O94" s="273" t="s">
        <v>806</v>
      </c>
      <c r="P94" s="273"/>
      <c r="Q94" s="328"/>
      <c r="R94" s="269" t="s">
        <v>31</v>
      </c>
      <c r="S94" s="278" t="s">
        <v>804</v>
      </c>
      <c r="T94" s="375" t="s">
        <v>939</v>
      </c>
      <c r="U94" s="387"/>
      <c r="V94" s="361" t="s">
        <v>22</v>
      </c>
      <c r="W94" s="358" t="s">
        <v>938</v>
      </c>
      <c r="X94" s="353"/>
      <c r="Y94" s="354" t="s">
        <v>201</v>
      </c>
      <c r="Z94" s="354" t="s">
        <v>388</v>
      </c>
      <c r="AA94" s="354" t="s">
        <v>412</v>
      </c>
      <c r="AB94" s="354" t="s">
        <v>201</v>
      </c>
      <c r="AC94" s="354" t="s">
        <v>467</v>
      </c>
      <c r="AD94" s="354"/>
      <c r="AE94" s="354"/>
      <c r="AF94" s="355"/>
      <c r="AG94" s="355"/>
      <c r="AH94" s="355"/>
      <c r="AI94" s="355" t="s">
        <v>591</v>
      </c>
      <c r="AJ94" s="356">
        <v>111</v>
      </c>
      <c r="AK94" s="356"/>
      <c r="AL94" s="356"/>
    </row>
    <row r="95" spans="1:38" ht="168" customHeight="1" thickBot="1">
      <c r="A95" s="239" t="s">
        <v>103</v>
      </c>
      <c r="B95" s="258" t="s">
        <v>367</v>
      </c>
      <c r="C95" s="247" t="s">
        <v>96</v>
      </c>
      <c r="D95" s="248" t="s">
        <v>368</v>
      </c>
      <c r="E95" s="249">
        <v>45200</v>
      </c>
      <c r="F95" s="268"/>
      <c r="G95" s="268"/>
      <c r="H95" s="269" t="s">
        <v>31</v>
      </c>
      <c r="I95" s="270"/>
      <c r="J95" s="271" t="s">
        <v>675</v>
      </c>
      <c r="K95" s="271"/>
      <c r="L95" s="272"/>
      <c r="M95" s="269" t="s">
        <v>31</v>
      </c>
      <c r="N95" s="270"/>
      <c r="O95" s="273" t="s">
        <v>807</v>
      </c>
      <c r="P95" s="273"/>
      <c r="Q95" s="328"/>
      <c r="R95" s="269" t="s">
        <v>22</v>
      </c>
      <c r="S95" s="270"/>
      <c r="T95" s="337" t="s">
        <v>921</v>
      </c>
      <c r="U95" s="359"/>
      <c r="V95" s="361" t="s">
        <v>22</v>
      </c>
      <c r="W95" s="362"/>
      <c r="X95" s="363"/>
      <c r="Y95" s="354" t="s">
        <v>201</v>
      </c>
      <c r="Z95" s="354" t="s">
        <v>388</v>
      </c>
      <c r="AA95" s="354" t="s">
        <v>412</v>
      </c>
      <c r="AB95" s="354" t="s">
        <v>201</v>
      </c>
      <c r="AC95" s="354" t="s">
        <v>201</v>
      </c>
      <c r="AD95" s="354"/>
      <c r="AE95" s="354"/>
      <c r="AF95" s="355"/>
      <c r="AG95" s="355"/>
      <c r="AH95" s="355" t="s">
        <v>591</v>
      </c>
      <c r="AI95" s="355"/>
      <c r="AJ95" s="356">
        <v>112</v>
      </c>
      <c r="AK95" s="356"/>
      <c r="AL95" s="356"/>
    </row>
    <row r="96" spans="1:38" ht="168" customHeight="1" thickBot="1">
      <c r="A96" s="239" t="s">
        <v>486</v>
      </c>
      <c r="B96" s="258" t="s">
        <v>331</v>
      </c>
      <c r="C96" s="247" t="s">
        <v>82</v>
      </c>
      <c r="D96" s="248" t="s">
        <v>139</v>
      </c>
      <c r="E96" s="249">
        <v>45078</v>
      </c>
      <c r="F96" s="268" t="s">
        <v>538</v>
      </c>
      <c r="G96" s="268"/>
      <c r="H96" s="269" t="s">
        <v>22</v>
      </c>
      <c r="I96" s="292" t="s">
        <v>539</v>
      </c>
      <c r="J96" s="271" t="s">
        <v>629</v>
      </c>
      <c r="K96" s="271"/>
      <c r="L96" s="272"/>
      <c r="M96" s="269" t="s">
        <v>22</v>
      </c>
      <c r="N96" s="270"/>
      <c r="O96" s="273" t="s">
        <v>808</v>
      </c>
      <c r="P96" s="273"/>
      <c r="Q96" s="328"/>
      <c r="R96" s="269" t="s">
        <v>22</v>
      </c>
      <c r="S96" s="270"/>
      <c r="T96" s="337" t="s">
        <v>923</v>
      </c>
      <c r="U96" s="359"/>
      <c r="V96" s="361" t="s">
        <v>22</v>
      </c>
      <c r="W96" s="362"/>
      <c r="X96" s="363"/>
      <c r="Y96" s="354" t="s">
        <v>201</v>
      </c>
      <c r="Z96" s="354" t="s">
        <v>399</v>
      </c>
      <c r="AA96" s="354" t="s">
        <v>412</v>
      </c>
      <c r="AB96" s="354" t="s">
        <v>109</v>
      </c>
      <c r="AC96" s="354" t="s">
        <v>201</v>
      </c>
      <c r="AD96" s="354"/>
      <c r="AE96" s="354"/>
      <c r="AF96" s="355"/>
      <c r="AG96" s="355"/>
      <c r="AH96" s="355" t="s">
        <v>591</v>
      </c>
      <c r="AI96" s="355"/>
      <c r="AJ96" s="356">
        <v>78</v>
      </c>
      <c r="AK96" s="356"/>
      <c r="AL96" s="356"/>
    </row>
    <row r="97" spans="1:38" ht="168" customHeight="1" thickBot="1">
      <c r="A97" s="239" t="s">
        <v>486</v>
      </c>
      <c r="B97" s="258" t="s">
        <v>332</v>
      </c>
      <c r="C97" s="247" t="s">
        <v>82</v>
      </c>
      <c r="D97" s="248" t="s">
        <v>140</v>
      </c>
      <c r="E97" s="249">
        <v>45200</v>
      </c>
      <c r="F97" s="268" t="s">
        <v>471</v>
      </c>
      <c r="G97" s="268"/>
      <c r="H97" s="269" t="s">
        <v>31</v>
      </c>
      <c r="I97" s="287"/>
      <c r="J97" s="271" t="s">
        <v>630</v>
      </c>
      <c r="K97" s="271"/>
      <c r="L97" s="272"/>
      <c r="M97" s="269" t="s">
        <v>31</v>
      </c>
      <c r="N97" s="270"/>
      <c r="O97" s="273" t="s">
        <v>760</v>
      </c>
      <c r="P97" s="273"/>
      <c r="Q97" s="328"/>
      <c r="R97" s="269" t="s">
        <v>22</v>
      </c>
      <c r="S97" s="270"/>
      <c r="T97" s="389" t="s">
        <v>921</v>
      </c>
      <c r="U97" s="359"/>
      <c r="V97" s="361" t="s">
        <v>22</v>
      </c>
      <c r="W97" s="362"/>
      <c r="X97" s="353"/>
      <c r="Y97" s="354" t="s">
        <v>201</v>
      </c>
      <c r="Z97" s="354" t="s">
        <v>399</v>
      </c>
      <c r="AA97" s="354" t="s">
        <v>412</v>
      </c>
      <c r="AB97" s="354" t="s">
        <v>109</v>
      </c>
      <c r="AC97" s="354" t="s">
        <v>201</v>
      </c>
      <c r="AD97" s="354"/>
      <c r="AE97" s="354"/>
      <c r="AF97" s="355"/>
      <c r="AG97" s="355"/>
      <c r="AH97" s="355" t="s">
        <v>591</v>
      </c>
      <c r="AI97" s="355"/>
      <c r="AJ97" s="356">
        <v>79</v>
      </c>
      <c r="AK97" s="356"/>
      <c r="AL97" s="356"/>
    </row>
    <row r="98" spans="1:38" ht="168" customHeight="1" thickBot="1">
      <c r="A98" s="239" t="s">
        <v>486</v>
      </c>
      <c r="B98" s="258" t="s">
        <v>333</v>
      </c>
      <c r="C98" s="247" t="s">
        <v>82</v>
      </c>
      <c r="D98" s="248" t="s">
        <v>141</v>
      </c>
      <c r="E98" s="249">
        <v>45352</v>
      </c>
      <c r="F98" s="272" t="s">
        <v>574</v>
      </c>
      <c r="G98" s="268"/>
      <c r="H98" s="269" t="s">
        <v>31</v>
      </c>
      <c r="I98" s="270"/>
      <c r="J98" s="276" t="s">
        <v>631</v>
      </c>
      <c r="K98" s="276"/>
      <c r="L98" s="277"/>
      <c r="M98" s="269" t="s">
        <v>31</v>
      </c>
      <c r="N98" s="278"/>
      <c r="O98" s="273" t="s">
        <v>761</v>
      </c>
      <c r="P98" s="273"/>
      <c r="Q98" s="328"/>
      <c r="R98" s="269" t="s">
        <v>31</v>
      </c>
      <c r="S98" s="278"/>
      <c r="T98" s="336" t="s">
        <v>860</v>
      </c>
      <c r="U98" s="357"/>
      <c r="V98" s="361" t="s">
        <v>22</v>
      </c>
      <c r="W98" s="358"/>
      <c r="X98" s="363"/>
      <c r="Y98" s="354" t="s">
        <v>201</v>
      </c>
      <c r="Z98" s="354" t="s">
        <v>399</v>
      </c>
      <c r="AA98" s="354" t="s">
        <v>412</v>
      </c>
      <c r="AB98" s="354" t="s">
        <v>109</v>
      </c>
      <c r="AC98" s="354" t="s">
        <v>201</v>
      </c>
      <c r="AD98" s="354"/>
      <c r="AE98" s="354"/>
      <c r="AF98" s="355"/>
      <c r="AG98" s="355"/>
      <c r="AH98" s="355" t="s">
        <v>591</v>
      </c>
      <c r="AI98" s="355"/>
      <c r="AJ98" s="356">
        <v>80</v>
      </c>
      <c r="AK98" s="356"/>
      <c r="AL98" s="356"/>
    </row>
    <row r="99" spans="1:38" ht="168" customHeight="1" thickBot="1">
      <c r="A99" s="239" t="s">
        <v>486</v>
      </c>
      <c r="B99" s="258" t="s">
        <v>334</v>
      </c>
      <c r="C99" s="247" t="s">
        <v>82</v>
      </c>
      <c r="D99" s="248" t="s">
        <v>142</v>
      </c>
      <c r="E99" s="249">
        <v>45352</v>
      </c>
      <c r="F99" s="293"/>
      <c r="G99" s="268"/>
      <c r="H99" s="269" t="s">
        <v>35</v>
      </c>
      <c r="I99" s="287"/>
      <c r="J99" s="276" t="s">
        <v>632</v>
      </c>
      <c r="K99" s="276"/>
      <c r="L99" s="277"/>
      <c r="M99" s="269" t="s">
        <v>31</v>
      </c>
      <c r="N99" s="278"/>
      <c r="O99" s="333" t="s">
        <v>762</v>
      </c>
      <c r="P99" s="273"/>
      <c r="Q99" s="328"/>
      <c r="R99" s="269" t="s">
        <v>31</v>
      </c>
      <c r="S99" s="278"/>
      <c r="T99" s="336" t="s">
        <v>861</v>
      </c>
      <c r="U99" s="357"/>
      <c r="V99" s="361" t="s">
        <v>22</v>
      </c>
      <c r="W99" s="358"/>
      <c r="X99" s="363"/>
      <c r="Y99" s="354" t="s">
        <v>201</v>
      </c>
      <c r="Z99" s="354" t="s">
        <v>399</v>
      </c>
      <c r="AA99" s="354" t="s">
        <v>412</v>
      </c>
      <c r="AB99" s="354" t="s">
        <v>109</v>
      </c>
      <c r="AC99" s="354" t="s">
        <v>201</v>
      </c>
      <c r="AD99" s="354"/>
      <c r="AE99" s="354"/>
      <c r="AF99" s="355"/>
      <c r="AG99" s="355"/>
      <c r="AH99" s="355" t="s">
        <v>591</v>
      </c>
      <c r="AI99" s="355"/>
      <c r="AJ99" s="356">
        <v>81</v>
      </c>
      <c r="AK99" s="356"/>
      <c r="AL99" s="356"/>
    </row>
    <row r="100" spans="1:38" ht="168" customHeight="1" thickBot="1">
      <c r="A100" s="239" t="s">
        <v>486</v>
      </c>
      <c r="B100" s="258" t="s">
        <v>462</v>
      </c>
      <c r="C100" s="247" t="s">
        <v>167</v>
      </c>
      <c r="D100" s="248" t="s">
        <v>464</v>
      </c>
      <c r="E100" s="249">
        <v>45261</v>
      </c>
      <c r="F100" s="268" t="s">
        <v>488</v>
      </c>
      <c r="G100" s="268"/>
      <c r="H100" s="269" t="s">
        <v>31</v>
      </c>
      <c r="I100" s="270"/>
      <c r="J100" s="277" t="s">
        <v>628</v>
      </c>
      <c r="K100" s="284"/>
      <c r="L100" s="272"/>
      <c r="M100" s="269" t="s">
        <v>31</v>
      </c>
      <c r="N100" s="278"/>
      <c r="O100" s="273" t="s">
        <v>763</v>
      </c>
      <c r="P100" s="273"/>
      <c r="Q100" s="328"/>
      <c r="R100" s="269" t="s">
        <v>22</v>
      </c>
      <c r="S100" s="292" t="s">
        <v>809</v>
      </c>
      <c r="T100" s="336" t="s">
        <v>921</v>
      </c>
      <c r="U100" s="378"/>
      <c r="V100" s="361" t="s">
        <v>22</v>
      </c>
      <c r="W100" s="336"/>
      <c r="X100" s="363"/>
      <c r="Y100" s="354" t="s">
        <v>201</v>
      </c>
      <c r="Z100" s="354" t="s">
        <v>400</v>
      </c>
      <c r="AA100" s="354" t="s">
        <v>412</v>
      </c>
      <c r="AB100" s="354" t="s">
        <v>109</v>
      </c>
      <c r="AC100" s="354" t="s">
        <v>467</v>
      </c>
      <c r="AD100" s="354"/>
      <c r="AE100" s="354"/>
      <c r="AF100" s="355"/>
      <c r="AG100" s="355"/>
      <c r="AH100" s="355"/>
      <c r="AI100" s="355" t="s">
        <v>591</v>
      </c>
      <c r="AJ100" s="356">
        <v>86</v>
      </c>
      <c r="AK100" s="356"/>
      <c r="AL100" s="356"/>
    </row>
    <row r="101" spans="1:38" ht="168" customHeight="1" thickBot="1">
      <c r="A101" s="239" t="s">
        <v>537</v>
      </c>
      <c r="B101" s="258" t="s">
        <v>335</v>
      </c>
      <c r="C101" s="247" t="s">
        <v>92</v>
      </c>
      <c r="D101" s="248" t="s">
        <v>589</v>
      </c>
      <c r="E101" s="249">
        <v>45231</v>
      </c>
      <c r="F101" s="268" t="s">
        <v>540</v>
      </c>
      <c r="G101" s="268"/>
      <c r="H101" s="269" t="s">
        <v>31</v>
      </c>
      <c r="I101" s="270"/>
      <c r="J101" s="272" t="s">
        <v>633</v>
      </c>
      <c r="K101" s="339"/>
      <c r="L101" s="340"/>
      <c r="M101" s="341" t="s">
        <v>31</v>
      </c>
      <c r="N101" s="270" t="s">
        <v>685</v>
      </c>
      <c r="O101" s="271" t="s">
        <v>829</v>
      </c>
      <c r="P101" s="273"/>
      <c r="Q101" s="328"/>
      <c r="R101" s="269" t="s">
        <v>22</v>
      </c>
      <c r="S101" s="270"/>
      <c r="T101" s="390" t="s">
        <v>874</v>
      </c>
      <c r="U101" s="359"/>
      <c r="V101" s="361" t="s">
        <v>22</v>
      </c>
      <c r="W101" s="362"/>
      <c r="X101" s="363"/>
      <c r="Y101" s="354" t="s">
        <v>201</v>
      </c>
      <c r="Z101" s="354" t="s">
        <v>399</v>
      </c>
      <c r="AA101" s="354" t="s">
        <v>412</v>
      </c>
      <c r="AB101" s="354" t="s">
        <v>109</v>
      </c>
      <c r="AC101" s="354" t="s">
        <v>201</v>
      </c>
      <c r="AD101" s="354"/>
      <c r="AE101" s="354"/>
      <c r="AF101" s="355"/>
      <c r="AG101" s="355"/>
      <c r="AH101" s="355" t="s">
        <v>591</v>
      </c>
      <c r="AI101" s="355"/>
      <c r="AJ101" s="356">
        <v>82</v>
      </c>
      <c r="AK101" s="356"/>
      <c r="AL101" s="356"/>
    </row>
    <row r="102" spans="1:38" ht="168" customHeight="1" thickBot="1">
      <c r="A102" s="239" t="s">
        <v>537</v>
      </c>
      <c r="B102" s="258" t="s">
        <v>336</v>
      </c>
      <c r="C102" s="247" t="s">
        <v>92</v>
      </c>
      <c r="D102" s="248" t="s">
        <v>164</v>
      </c>
      <c r="E102" s="249">
        <v>45352</v>
      </c>
      <c r="F102" s="268" t="s">
        <v>541</v>
      </c>
      <c r="G102" s="268"/>
      <c r="H102" s="269" t="s">
        <v>31</v>
      </c>
      <c r="I102" s="270" t="s">
        <v>542</v>
      </c>
      <c r="J102" s="271" t="s">
        <v>686</v>
      </c>
      <c r="K102" s="345"/>
      <c r="L102" s="340"/>
      <c r="M102" s="341" t="s">
        <v>31</v>
      </c>
      <c r="N102" s="270"/>
      <c r="O102" s="335" t="s">
        <v>873</v>
      </c>
      <c r="P102" s="273"/>
      <c r="Q102" s="328"/>
      <c r="R102" s="269" t="s">
        <v>22</v>
      </c>
      <c r="S102" s="270"/>
      <c r="T102" s="348" t="s">
        <v>873</v>
      </c>
      <c r="U102" s="351"/>
      <c r="V102" s="361" t="s">
        <v>22</v>
      </c>
      <c r="W102" s="362"/>
      <c r="X102" s="363"/>
      <c r="Y102" s="354" t="s">
        <v>201</v>
      </c>
      <c r="Z102" s="354" t="s">
        <v>399</v>
      </c>
      <c r="AA102" s="354" t="s">
        <v>412</v>
      </c>
      <c r="AB102" s="354" t="s">
        <v>109</v>
      </c>
      <c r="AC102" s="354" t="s">
        <v>201</v>
      </c>
      <c r="AD102" s="354"/>
      <c r="AE102" s="354"/>
      <c r="AF102" s="355"/>
      <c r="AG102" s="355"/>
      <c r="AH102" s="355" t="s">
        <v>591</v>
      </c>
      <c r="AI102" s="355"/>
      <c r="AJ102" s="356">
        <v>83</v>
      </c>
      <c r="AK102" s="356"/>
      <c r="AL102" s="356"/>
    </row>
    <row r="103" spans="1:38" ht="168" customHeight="1" thickBot="1">
      <c r="A103" s="239" t="s">
        <v>537</v>
      </c>
      <c r="B103" s="258" t="s">
        <v>337</v>
      </c>
      <c r="C103" s="247" t="s">
        <v>92</v>
      </c>
      <c r="D103" s="248" t="s">
        <v>184</v>
      </c>
      <c r="E103" s="249">
        <v>45261</v>
      </c>
      <c r="F103" s="268" t="s">
        <v>549</v>
      </c>
      <c r="G103" s="268"/>
      <c r="H103" s="269" t="s">
        <v>31</v>
      </c>
      <c r="I103" s="270"/>
      <c r="J103" s="271" t="s">
        <v>705</v>
      </c>
      <c r="K103" s="304"/>
      <c r="L103" s="272"/>
      <c r="M103" s="269" t="s">
        <v>26</v>
      </c>
      <c r="N103" s="270"/>
      <c r="O103" s="273" t="s">
        <v>847</v>
      </c>
      <c r="P103" s="273"/>
      <c r="Q103" s="328"/>
      <c r="R103" s="269" t="s">
        <v>26</v>
      </c>
      <c r="S103" s="270"/>
      <c r="T103" s="348" t="s">
        <v>872</v>
      </c>
      <c r="U103" s="386"/>
      <c r="V103" s="381" t="s">
        <v>26</v>
      </c>
      <c r="W103" s="362"/>
      <c r="X103" s="363"/>
      <c r="Y103" s="354" t="s">
        <v>201</v>
      </c>
      <c r="Z103" s="354" t="s">
        <v>399</v>
      </c>
      <c r="AA103" s="354" t="s">
        <v>412</v>
      </c>
      <c r="AB103" s="354" t="s">
        <v>109</v>
      </c>
      <c r="AC103" s="354" t="s">
        <v>467</v>
      </c>
      <c r="AD103" s="354"/>
      <c r="AE103" s="354"/>
      <c r="AF103" s="355"/>
      <c r="AG103" s="355"/>
      <c r="AH103" s="355"/>
      <c r="AI103" s="355" t="s">
        <v>591</v>
      </c>
      <c r="AJ103" s="356">
        <v>84</v>
      </c>
      <c r="AK103" s="356"/>
      <c r="AL103" s="356"/>
    </row>
    <row r="104" spans="1:38" ht="168" customHeight="1" thickBot="1">
      <c r="A104" s="239" t="s">
        <v>106</v>
      </c>
      <c r="B104" s="258" t="s">
        <v>265</v>
      </c>
      <c r="C104" s="247" t="s">
        <v>248</v>
      </c>
      <c r="D104" s="248" t="s">
        <v>266</v>
      </c>
      <c r="E104" s="253" t="s">
        <v>250</v>
      </c>
      <c r="F104" s="268" t="s">
        <v>490</v>
      </c>
      <c r="G104" s="268"/>
      <c r="H104" s="269" t="s">
        <v>31</v>
      </c>
      <c r="I104" s="270"/>
      <c r="J104" s="271" t="s">
        <v>677</v>
      </c>
      <c r="K104" s="271"/>
      <c r="L104" s="304"/>
      <c r="M104" s="269" t="s">
        <v>31</v>
      </c>
      <c r="N104" s="270"/>
      <c r="O104" s="273" t="s">
        <v>810</v>
      </c>
      <c r="P104" s="273"/>
      <c r="Q104" s="328"/>
      <c r="R104" s="269" t="s">
        <v>22</v>
      </c>
      <c r="S104" s="270"/>
      <c r="T104" s="337" t="s">
        <v>921</v>
      </c>
      <c r="U104" s="359"/>
      <c r="V104" s="361" t="s">
        <v>22</v>
      </c>
      <c r="W104" s="362"/>
      <c r="X104" s="363"/>
      <c r="Y104" s="354" t="s">
        <v>835</v>
      </c>
      <c r="Z104" s="354" t="s">
        <v>393</v>
      </c>
      <c r="AA104" s="354" t="s">
        <v>405</v>
      </c>
      <c r="AB104" s="354" t="s">
        <v>110</v>
      </c>
      <c r="AC104" s="354" t="s">
        <v>468</v>
      </c>
      <c r="AD104" s="354"/>
      <c r="AE104" s="354"/>
      <c r="AF104" s="355" t="s">
        <v>591</v>
      </c>
      <c r="AG104" s="355"/>
      <c r="AH104" s="355"/>
      <c r="AI104" s="355"/>
      <c r="AJ104" s="356">
        <v>27</v>
      </c>
      <c r="AK104" s="356"/>
      <c r="AL104" s="356"/>
    </row>
    <row r="105" spans="1:38" ht="168" customHeight="1" thickBot="1">
      <c r="A105" s="239" t="s">
        <v>106</v>
      </c>
      <c r="B105" s="258" t="s">
        <v>267</v>
      </c>
      <c r="C105" s="247" t="s">
        <v>248</v>
      </c>
      <c r="D105" s="248" t="s">
        <v>850</v>
      </c>
      <c r="E105" s="253" t="s">
        <v>250</v>
      </c>
      <c r="F105" s="268" t="s">
        <v>588</v>
      </c>
      <c r="G105" s="268"/>
      <c r="H105" s="269" t="s">
        <v>32</v>
      </c>
      <c r="I105" s="270" t="s">
        <v>473</v>
      </c>
      <c r="J105" s="271" t="s">
        <v>703</v>
      </c>
      <c r="K105" s="271"/>
      <c r="L105" s="272"/>
      <c r="M105" s="269" t="s">
        <v>22</v>
      </c>
      <c r="N105" s="270"/>
      <c r="O105" s="273" t="s">
        <v>811</v>
      </c>
      <c r="P105" s="273" t="s">
        <v>828</v>
      </c>
      <c r="Q105" s="328"/>
      <c r="R105" s="269" t="s">
        <v>22</v>
      </c>
      <c r="S105" s="270"/>
      <c r="T105" s="348" t="s">
        <v>888</v>
      </c>
      <c r="U105" s="359"/>
      <c r="V105" s="361" t="s">
        <v>22</v>
      </c>
      <c r="W105" s="362"/>
      <c r="X105" s="353"/>
      <c r="Y105" s="354" t="s">
        <v>835</v>
      </c>
      <c r="Z105" s="354" t="s">
        <v>393</v>
      </c>
      <c r="AA105" s="354" t="s">
        <v>405</v>
      </c>
      <c r="AB105" s="354" t="s">
        <v>110</v>
      </c>
      <c r="AC105" s="354" t="s">
        <v>468</v>
      </c>
      <c r="AD105" s="354"/>
      <c r="AE105" s="354"/>
      <c r="AF105" s="355" t="s">
        <v>591</v>
      </c>
      <c r="AG105" s="355"/>
      <c r="AH105" s="355"/>
      <c r="AI105" s="355"/>
      <c r="AJ105" s="356">
        <v>28</v>
      </c>
      <c r="AK105" s="356"/>
      <c r="AL105" s="356"/>
    </row>
    <row r="106" spans="1:38" ht="168" customHeight="1" thickBot="1">
      <c r="A106" s="239" t="s">
        <v>106</v>
      </c>
      <c r="B106" s="258" t="s">
        <v>448</v>
      </c>
      <c r="C106" s="247" t="s">
        <v>93</v>
      </c>
      <c r="D106" s="248" t="s">
        <v>452</v>
      </c>
      <c r="E106" s="249" t="s">
        <v>134</v>
      </c>
      <c r="F106" s="268" t="s">
        <v>472</v>
      </c>
      <c r="G106" s="268"/>
      <c r="H106" s="269" t="s">
        <v>35</v>
      </c>
      <c r="I106" s="270"/>
      <c r="J106" s="284" t="s">
        <v>598</v>
      </c>
      <c r="K106" s="276"/>
      <c r="L106" s="277"/>
      <c r="M106" s="269" t="s">
        <v>31</v>
      </c>
      <c r="N106" s="278"/>
      <c r="O106" s="273" t="s">
        <v>813</v>
      </c>
      <c r="P106" s="273" t="s">
        <v>812</v>
      </c>
      <c r="Q106" s="328"/>
      <c r="R106" s="269" t="s">
        <v>31</v>
      </c>
      <c r="S106" s="278"/>
      <c r="T106" s="336" t="s">
        <v>863</v>
      </c>
      <c r="U106" s="391">
        <v>0</v>
      </c>
      <c r="V106" s="361" t="s">
        <v>22</v>
      </c>
      <c r="W106" s="358"/>
      <c r="X106" s="363"/>
      <c r="Y106" s="354" t="s">
        <v>835</v>
      </c>
      <c r="Z106" s="354" t="s">
        <v>393</v>
      </c>
      <c r="AA106" s="354" t="s">
        <v>412</v>
      </c>
      <c r="AB106" s="354" t="s">
        <v>110</v>
      </c>
      <c r="AC106" s="354" t="s">
        <v>468</v>
      </c>
      <c r="AD106" s="354"/>
      <c r="AE106" s="354"/>
      <c r="AF106" s="355" t="s">
        <v>591</v>
      </c>
      <c r="AG106" s="355"/>
      <c r="AH106" s="355"/>
      <c r="AI106" s="355"/>
      <c r="AJ106" s="356">
        <v>63</v>
      </c>
      <c r="AK106" s="356"/>
      <c r="AL106" s="356"/>
    </row>
    <row r="107" spans="1:38" ht="168" customHeight="1" thickBot="1">
      <c r="A107" s="239" t="s">
        <v>106</v>
      </c>
      <c r="B107" s="258" t="s">
        <v>449</v>
      </c>
      <c r="C107" s="247" t="s">
        <v>93</v>
      </c>
      <c r="D107" s="248" t="s">
        <v>453</v>
      </c>
      <c r="E107" s="249" t="s">
        <v>134</v>
      </c>
      <c r="F107" s="268" t="s">
        <v>472</v>
      </c>
      <c r="G107" s="268"/>
      <c r="H107" s="269" t="s">
        <v>35</v>
      </c>
      <c r="I107" s="270"/>
      <c r="J107" s="284" t="s">
        <v>598</v>
      </c>
      <c r="K107" s="276"/>
      <c r="L107" s="277"/>
      <c r="M107" s="269" t="s">
        <v>31</v>
      </c>
      <c r="N107" s="278"/>
      <c r="O107" s="273" t="s">
        <v>813</v>
      </c>
      <c r="P107" s="273" t="s">
        <v>812</v>
      </c>
      <c r="Q107" s="328"/>
      <c r="R107" s="269" t="s">
        <v>31</v>
      </c>
      <c r="S107" s="278"/>
      <c r="T107" s="336" t="s">
        <v>863</v>
      </c>
      <c r="U107" s="391">
        <v>0</v>
      </c>
      <c r="V107" s="361" t="s">
        <v>22</v>
      </c>
      <c r="W107" s="358"/>
      <c r="X107" s="363"/>
      <c r="Y107" s="354" t="s">
        <v>835</v>
      </c>
      <c r="Z107" s="354" t="s">
        <v>393</v>
      </c>
      <c r="AA107" s="354" t="s">
        <v>412</v>
      </c>
      <c r="AB107" s="354" t="s">
        <v>110</v>
      </c>
      <c r="AC107" s="354" t="s">
        <v>468</v>
      </c>
      <c r="AD107" s="354"/>
      <c r="AE107" s="354"/>
      <c r="AF107" s="355" t="s">
        <v>591</v>
      </c>
      <c r="AG107" s="355"/>
      <c r="AH107" s="355"/>
      <c r="AI107" s="355"/>
      <c r="AJ107" s="356">
        <v>64</v>
      </c>
      <c r="AK107" s="356"/>
      <c r="AL107" s="356"/>
    </row>
    <row r="108" spans="1:38" ht="168" customHeight="1" thickBot="1">
      <c r="A108" s="239" t="s">
        <v>106</v>
      </c>
      <c r="B108" s="258" t="s">
        <v>450</v>
      </c>
      <c r="C108" s="247" t="s">
        <v>93</v>
      </c>
      <c r="D108" s="248" t="s">
        <v>454</v>
      </c>
      <c r="E108" s="249" t="s">
        <v>134</v>
      </c>
      <c r="F108" s="268" t="s">
        <v>472</v>
      </c>
      <c r="G108" s="268"/>
      <c r="H108" s="269" t="s">
        <v>35</v>
      </c>
      <c r="I108" s="270"/>
      <c r="J108" s="284" t="s">
        <v>598</v>
      </c>
      <c r="K108" s="276"/>
      <c r="L108" s="277"/>
      <c r="M108" s="269" t="s">
        <v>31</v>
      </c>
      <c r="N108" s="278"/>
      <c r="O108" s="273" t="s">
        <v>813</v>
      </c>
      <c r="P108" s="273" t="s">
        <v>812</v>
      </c>
      <c r="Q108" s="328"/>
      <c r="R108" s="269" t="s">
        <v>31</v>
      </c>
      <c r="S108" s="278"/>
      <c r="T108" s="336" t="s">
        <v>863</v>
      </c>
      <c r="U108" s="391">
        <v>0</v>
      </c>
      <c r="V108" s="361" t="s">
        <v>22</v>
      </c>
      <c r="W108" s="358"/>
      <c r="X108" s="363"/>
      <c r="Y108" s="354" t="s">
        <v>835</v>
      </c>
      <c r="Z108" s="354" t="s">
        <v>393</v>
      </c>
      <c r="AA108" s="354" t="s">
        <v>412</v>
      </c>
      <c r="AB108" s="354" t="s">
        <v>110</v>
      </c>
      <c r="AC108" s="354" t="s">
        <v>468</v>
      </c>
      <c r="AD108" s="354"/>
      <c r="AE108" s="354"/>
      <c r="AF108" s="355" t="s">
        <v>591</v>
      </c>
      <c r="AG108" s="355"/>
      <c r="AH108" s="355"/>
      <c r="AI108" s="355"/>
      <c r="AJ108" s="356">
        <v>65</v>
      </c>
      <c r="AK108" s="356"/>
      <c r="AL108" s="356"/>
    </row>
    <row r="109" spans="1:38" ht="168" customHeight="1" thickBot="1">
      <c r="A109" s="239" t="s">
        <v>106</v>
      </c>
      <c r="B109" s="258" t="s">
        <v>451</v>
      </c>
      <c r="C109" s="247" t="s">
        <v>93</v>
      </c>
      <c r="D109" s="248" t="s">
        <v>455</v>
      </c>
      <c r="E109" s="249" t="s">
        <v>134</v>
      </c>
      <c r="F109" s="268" t="s">
        <v>472</v>
      </c>
      <c r="G109" s="268"/>
      <c r="H109" s="269" t="s">
        <v>35</v>
      </c>
      <c r="I109" s="270"/>
      <c r="J109" s="284" t="s">
        <v>598</v>
      </c>
      <c r="K109" s="276"/>
      <c r="L109" s="277"/>
      <c r="M109" s="269" t="s">
        <v>31</v>
      </c>
      <c r="N109" s="278"/>
      <c r="O109" s="273" t="s">
        <v>813</v>
      </c>
      <c r="P109" s="273" t="s">
        <v>812</v>
      </c>
      <c r="Q109" s="328"/>
      <c r="R109" s="269" t="s">
        <v>31</v>
      </c>
      <c r="S109" s="278"/>
      <c r="T109" s="336" t="s">
        <v>863</v>
      </c>
      <c r="U109" s="391">
        <v>0</v>
      </c>
      <c r="V109" s="361" t="s">
        <v>22</v>
      </c>
      <c r="W109" s="358"/>
      <c r="X109" s="363"/>
      <c r="Y109" s="354" t="s">
        <v>835</v>
      </c>
      <c r="Z109" s="354" t="s">
        <v>393</v>
      </c>
      <c r="AA109" s="354" t="s">
        <v>412</v>
      </c>
      <c r="AB109" s="354" t="s">
        <v>110</v>
      </c>
      <c r="AC109" s="354" t="s">
        <v>468</v>
      </c>
      <c r="AD109" s="354"/>
      <c r="AE109" s="354"/>
      <c r="AF109" s="355" t="s">
        <v>591</v>
      </c>
      <c r="AG109" s="355"/>
      <c r="AH109" s="355"/>
      <c r="AI109" s="355"/>
      <c r="AJ109" s="356">
        <v>66</v>
      </c>
      <c r="AK109" s="356"/>
      <c r="AL109" s="356"/>
    </row>
    <row r="110" spans="1:38" ht="168" customHeight="1" thickBot="1">
      <c r="A110" s="239" t="s">
        <v>106</v>
      </c>
      <c r="B110" s="258" t="s">
        <v>320</v>
      </c>
      <c r="C110" s="247" t="s">
        <v>3</v>
      </c>
      <c r="D110" s="248" t="s">
        <v>144</v>
      </c>
      <c r="E110" s="249" t="s">
        <v>134</v>
      </c>
      <c r="F110" s="294">
        <v>0.99980000000000002</v>
      </c>
      <c r="G110" s="294">
        <v>0.99980000000000002</v>
      </c>
      <c r="H110" s="269" t="s">
        <v>31</v>
      </c>
      <c r="I110" s="270"/>
      <c r="J110" s="275">
        <v>0.99970000000000003</v>
      </c>
      <c r="K110" s="276"/>
      <c r="L110" s="308">
        <v>0.99970000000000003</v>
      </c>
      <c r="M110" s="269" t="s">
        <v>31</v>
      </c>
      <c r="N110" s="278"/>
      <c r="O110" s="273" t="s">
        <v>729</v>
      </c>
      <c r="P110" s="273"/>
      <c r="Q110" s="328"/>
      <c r="R110" s="269" t="s">
        <v>31</v>
      </c>
      <c r="S110" s="278"/>
      <c r="T110" s="375">
        <v>0.99970000000000003</v>
      </c>
      <c r="U110" s="388"/>
      <c r="V110" s="361" t="s">
        <v>22</v>
      </c>
      <c r="W110" s="358"/>
      <c r="X110" s="353"/>
      <c r="Y110" s="354" t="s">
        <v>835</v>
      </c>
      <c r="Z110" s="354" t="s">
        <v>393</v>
      </c>
      <c r="AA110" s="354" t="s">
        <v>412</v>
      </c>
      <c r="AB110" s="354" t="s">
        <v>110</v>
      </c>
      <c r="AC110" s="354" t="s">
        <v>467</v>
      </c>
      <c r="AD110" s="354"/>
      <c r="AE110" s="354"/>
      <c r="AF110" s="355"/>
      <c r="AG110" s="355"/>
      <c r="AH110" s="355"/>
      <c r="AI110" s="355" t="s">
        <v>591</v>
      </c>
      <c r="AJ110" s="356">
        <v>67</v>
      </c>
      <c r="AK110" s="356"/>
      <c r="AL110" s="356"/>
    </row>
    <row r="111" spans="1:38" ht="168" customHeight="1" thickBot="1">
      <c r="A111" s="239" t="s">
        <v>106</v>
      </c>
      <c r="B111" s="258" t="s">
        <v>321</v>
      </c>
      <c r="C111" s="247" t="s">
        <v>168</v>
      </c>
      <c r="D111" s="248" t="s">
        <v>169</v>
      </c>
      <c r="E111" s="249">
        <v>45108</v>
      </c>
      <c r="F111" s="268" t="s">
        <v>579</v>
      </c>
      <c r="G111" s="268"/>
      <c r="H111" s="269" t="s">
        <v>22</v>
      </c>
      <c r="I111" s="270"/>
      <c r="J111" s="271" t="s">
        <v>668</v>
      </c>
      <c r="K111" s="276"/>
      <c r="L111" s="277"/>
      <c r="M111" s="269" t="s">
        <v>22</v>
      </c>
      <c r="N111" s="278"/>
      <c r="O111" s="271" t="s">
        <v>668</v>
      </c>
      <c r="P111" s="273"/>
      <c r="Q111" s="328"/>
      <c r="R111" s="269" t="s">
        <v>22</v>
      </c>
      <c r="S111" s="278"/>
      <c r="T111" s="384" t="s">
        <v>923</v>
      </c>
      <c r="U111" s="336"/>
      <c r="V111" s="361" t="s">
        <v>22</v>
      </c>
      <c r="W111" s="358"/>
      <c r="X111" s="363"/>
      <c r="Y111" s="354" t="s">
        <v>835</v>
      </c>
      <c r="Z111" s="354" t="s">
        <v>393</v>
      </c>
      <c r="AA111" s="354" t="s">
        <v>412</v>
      </c>
      <c r="AB111" s="354" t="s">
        <v>110</v>
      </c>
      <c r="AC111" s="354" t="s">
        <v>467</v>
      </c>
      <c r="AD111" s="354"/>
      <c r="AE111" s="354"/>
      <c r="AF111" s="355"/>
      <c r="AG111" s="355"/>
      <c r="AH111" s="355"/>
      <c r="AI111" s="355" t="s">
        <v>591</v>
      </c>
      <c r="AJ111" s="356">
        <v>68</v>
      </c>
      <c r="AK111" s="356"/>
      <c r="AL111" s="356"/>
    </row>
    <row r="112" spans="1:38" ht="168" customHeight="1" thickBot="1">
      <c r="A112" s="239" t="s">
        <v>106</v>
      </c>
      <c r="B112" s="258" t="s">
        <v>322</v>
      </c>
      <c r="C112" s="247" t="s">
        <v>168</v>
      </c>
      <c r="D112" s="248" t="s">
        <v>170</v>
      </c>
      <c r="E112" s="249">
        <v>45170</v>
      </c>
      <c r="F112" s="268" t="s">
        <v>489</v>
      </c>
      <c r="G112" s="268"/>
      <c r="H112" s="269" t="s">
        <v>31</v>
      </c>
      <c r="I112" s="270"/>
      <c r="J112" s="271" t="s">
        <v>678</v>
      </c>
      <c r="K112" s="271"/>
      <c r="L112" s="272"/>
      <c r="M112" s="269" t="s">
        <v>22</v>
      </c>
      <c r="N112" s="270"/>
      <c r="O112" s="273" t="s">
        <v>814</v>
      </c>
      <c r="P112" s="273"/>
      <c r="Q112" s="328"/>
      <c r="R112" s="269" t="s">
        <v>22</v>
      </c>
      <c r="S112" s="270"/>
      <c r="T112" s="364" t="s">
        <v>772</v>
      </c>
      <c r="U112" s="364"/>
      <c r="V112" s="361" t="s">
        <v>22</v>
      </c>
      <c r="W112" s="362"/>
      <c r="X112" s="363"/>
      <c r="Y112" s="354" t="s">
        <v>835</v>
      </c>
      <c r="Z112" s="354" t="s">
        <v>393</v>
      </c>
      <c r="AA112" s="354" t="s">
        <v>412</v>
      </c>
      <c r="AB112" s="354" t="s">
        <v>110</v>
      </c>
      <c r="AC112" s="354" t="s">
        <v>467</v>
      </c>
      <c r="AD112" s="354"/>
      <c r="AE112" s="354"/>
      <c r="AF112" s="355"/>
      <c r="AG112" s="355"/>
      <c r="AH112" s="355"/>
      <c r="AI112" s="355" t="s">
        <v>591</v>
      </c>
      <c r="AJ112" s="356">
        <v>69</v>
      </c>
      <c r="AK112" s="356"/>
      <c r="AL112" s="356"/>
    </row>
    <row r="113" spans="1:38" ht="168" customHeight="1" thickBot="1">
      <c r="A113" s="239" t="s">
        <v>106</v>
      </c>
      <c r="B113" s="258" t="s">
        <v>323</v>
      </c>
      <c r="C113" s="247" t="s">
        <v>85</v>
      </c>
      <c r="D113" s="248" t="s">
        <v>148</v>
      </c>
      <c r="E113" s="249">
        <v>45200</v>
      </c>
      <c r="F113" s="268" t="s">
        <v>580</v>
      </c>
      <c r="G113" s="268"/>
      <c r="H113" s="269" t="s">
        <v>31</v>
      </c>
      <c r="I113" s="270"/>
      <c r="J113" s="271" t="s">
        <v>687</v>
      </c>
      <c r="K113" s="271"/>
      <c r="L113" s="272"/>
      <c r="M113" s="269" t="s">
        <v>31</v>
      </c>
      <c r="N113" s="270"/>
      <c r="O113" s="273" t="s">
        <v>726</v>
      </c>
      <c r="P113" s="273"/>
      <c r="Q113" s="328"/>
      <c r="R113" s="269" t="s">
        <v>22</v>
      </c>
      <c r="S113" s="270"/>
      <c r="T113" s="369" t="s">
        <v>772</v>
      </c>
      <c r="U113" s="364"/>
      <c r="V113" s="361" t="s">
        <v>22</v>
      </c>
      <c r="W113" s="362"/>
      <c r="X113" s="363"/>
      <c r="Y113" s="354" t="s">
        <v>835</v>
      </c>
      <c r="Z113" s="354" t="s">
        <v>393</v>
      </c>
      <c r="AA113" s="354" t="s">
        <v>412</v>
      </c>
      <c r="AB113" s="354" t="s">
        <v>110</v>
      </c>
      <c r="AC113" s="354" t="s">
        <v>468</v>
      </c>
      <c r="AD113" s="354" t="s">
        <v>467</v>
      </c>
      <c r="AE113" s="354"/>
      <c r="AF113" s="355" t="s">
        <v>591</v>
      </c>
      <c r="AG113" s="355"/>
      <c r="AH113" s="355"/>
      <c r="AI113" s="355" t="s">
        <v>591</v>
      </c>
      <c r="AJ113" s="356">
        <v>70</v>
      </c>
      <c r="AK113" s="356"/>
      <c r="AL113" s="356"/>
    </row>
    <row r="114" spans="1:38" ht="168" customHeight="1" thickBot="1">
      <c r="A114" s="239" t="s">
        <v>106</v>
      </c>
      <c r="B114" s="258" t="s">
        <v>324</v>
      </c>
      <c r="C114" s="247" t="s">
        <v>168</v>
      </c>
      <c r="D114" s="248" t="s">
        <v>171</v>
      </c>
      <c r="E114" s="249">
        <v>45231</v>
      </c>
      <c r="F114" s="268" t="s">
        <v>581</v>
      </c>
      <c r="G114" s="268"/>
      <c r="H114" s="269" t="s">
        <v>31</v>
      </c>
      <c r="I114" s="270"/>
      <c r="J114" s="271" t="s">
        <v>604</v>
      </c>
      <c r="K114" s="271"/>
      <c r="L114" s="272"/>
      <c r="M114" s="269" t="s">
        <v>31</v>
      </c>
      <c r="N114" s="270"/>
      <c r="O114" s="273" t="s">
        <v>727</v>
      </c>
      <c r="P114" s="273"/>
      <c r="Q114" s="328"/>
      <c r="R114" s="269" t="s">
        <v>22</v>
      </c>
      <c r="S114" s="270"/>
      <c r="T114" s="337" t="s">
        <v>921</v>
      </c>
      <c r="U114" s="359"/>
      <c r="V114" s="361" t="s">
        <v>22</v>
      </c>
      <c r="W114" s="362"/>
      <c r="X114" s="363"/>
      <c r="Y114" s="354" t="s">
        <v>835</v>
      </c>
      <c r="Z114" s="354" t="s">
        <v>393</v>
      </c>
      <c r="AA114" s="354" t="s">
        <v>412</v>
      </c>
      <c r="AB114" s="354" t="s">
        <v>110</v>
      </c>
      <c r="AC114" s="354" t="s">
        <v>467</v>
      </c>
      <c r="AD114" s="354"/>
      <c r="AE114" s="354"/>
      <c r="AF114" s="355"/>
      <c r="AG114" s="355"/>
      <c r="AH114" s="355"/>
      <c r="AI114" s="355" t="s">
        <v>591</v>
      </c>
      <c r="AJ114" s="356">
        <v>71</v>
      </c>
      <c r="AK114" s="356"/>
      <c r="AL114" s="356"/>
    </row>
    <row r="115" spans="1:38" ht="168" customHeight="1" thickBot="1">
      <c r="A115" s="239" t="s">
        <v>106</v>
      </c>
      <c r="B115" s="258" t="s">
        <v>325</v>
      </c>
      <c r="C115" s="247" t="s">
        <v>145</v>
      </c>
      <c r="D115" s="248" t="s">
        <v>146</v>
      </c>
      <c r="E115" s="249" t="s">
        <v>134</v>
      </c>
      <c r="F115" s="268" t="s">
        <v>499</v>
      </c>
      <c r="G115" s="268"/>
      <c r="H115" s="269" t="s">
        <v>32</v>
      </c>
      <c r="I115" s="270"/>
      <c r="J115" s="268" t="s">
        <v>708</v>
      </c>
      <c r="K115" s="271" t="s">
        <v>601</v>
      </c>
      <c r="L115" s="272" t="s">
        <v>603</v>
      </c>
      <c r="M115" s="269" t="s">
        <v>32</v>
      </c>
      <c r="N115" s="309"/>
      <c r="O115" s="328" t="s">
        <v>815</v>
      </c>
      <c r="P115" s="273" t="s">
        <v>741</v>
      </c>
      <c r="Q115" s="328" t="s">
        <v>742</v>
      </c>
      <c r="R115" s="269" t="s">
        <v>32</v>
      </c>
      <c r="S115" s="270"/>
      <c r="T115" s="346" t="s">
        <v>864</v>
      </c>
      <c r="U115" s="347" t="s">
        <v>866</v>
      </c>
      <c r="V115" s="361" t="s">
        <v>26</v>
      </c>
      <c r="W115" s="349" t="s">
        <v>875</v>
      </c>
      <c r="X115" s="353"/>
      <c r="Y115" s="354" t="s">
        <v>835</v>
      </c>
      <c r="Z115" s="354" t="s">
        <v>393</v>
      </c>
      <c r="AA115" s="354" t="s">
        <v>412</v>
      </c>
      <c r="AB115" s="354" t="s">
        <v>110</v>
      </c>
      <c r="AC115" s="354" t="s">
        <v>468</v>
      </c>
      <c r="AD115" s="354"/>
      <c r="AE115" s="354"/>
      <c r="AF115" s="355" t="s">
        <v>591</v>
      </c>
      <c r="AG115" s="355"/>
      <c r="AH115" s="355"/>
      <c r="AI115" s="355"/>
      <c r="AJ115" s="356">
        <v>72</v>
      </c>
      <c r="AK115" s="454" t="s">
        <v>940</v>
      </c>
      <c r="AL115" s="356"/>
    </row>
    <row r="116" spans="1:38" ht="168" customHeight="1" thickBot="1">
      <c r="A116" s="239" t="s">
        <v>106</v>
      </c>
      <c r="B116" s="258" t="s">
        <v>326</v>
      </c>
      <c r="C116" s="247" t="s">
        <v>85</v>
      </c>
      <c r="D116" s="248" t="s">
        <v>147</v>
      </c>
      <c r="E116" s="249" t="s">
        <v>134</v>
      </c>
      <c r="F116" s="268" t="s">
        <v>500</v>
      </c>
      <c r="G116" s="268"/>
      <c r="H116" s="269" t="s">
        <v>32</v>
      </c>
      <c r="I116" s="270"/>
      <c r="J116" s="272" t="s">
        <v>709</v>
      </c>
      <c r="K116" s="271" t="s">
        <v>600</v>
      </c>
      <c r="L116" s="272" t="s">
        <v>602</v>
      </c>
      <c r="M116" s="269" t="s">
        <v>32</v>
      </c>
      <c r="N116" s="270"/>
      <c r="O116" s="273" t="s">
        <v>816</v>
      </c>
      <c r="P116" s="273" t="s">
        <v>743</v>
      </c>
      <c r="Q116" s="328" t="s">
        <v>744</v>
      </c>
      <c r="R116" s="269" t="s">
        <v>32</v>
      </c>
      <c r="S116" s="270"/>
      <c r="T116" s="337" t="s">
        <v>865</v>
      </c>
      <c r="U116" s="347" t="s">
        <v>867</v>
      </c>
      <c r="V116" s="361" t="s">
        <v>24</v>
      </c>
      <c r="W116" s="349" t="s">
        <v>875</v>
      </c>
      <c r="X116" s="353"/>
      <c r="Y116" s="354" t="s">
        <v>835</v>
      </c>
      <c r="Z116" s="354" t="s">
        <v>393</v>
      </c>
      <c r="AA116" s="354" t="s">
        <v>412</v>
      </c>
      <c r="AB116" s="354" t="s">
        <v>110</v>
      </c>
      <c r="AC116" s="354" t="s">
        <v>468</v>
      </c>
      <c r="AD116" s="354"/>
      <c r="AE116" s="354"/>
      <c r="AF116" s="355" t="s">
        <v>591</v>
      </c>
      <c r="AG116" s="355"/>
      <c r="AH116" s="355"/>
      <c r="AI116" s="355"/>
      <c r="AJ116" s="356">
        <v>73</v>
      </c>
      <c r="AK116" s="454" t="s">
        <v>940</v>
      </c>
      <c r="AL116" s="356"/>
    </row>
    <row r="117" spans="1:38" ht="168" customHeight="1" thickBot="1">
      <c r="A117" s="239" t="s">
        <v>106</v>
      </c>
      <c r="B117" s="258" t="s">
        <v>327</v>
      </c>
      <c r="C117" s="247" t="s">
        <v>168</v>
      </c>
      <c r="D117" s="248" t="s">
        <v>172</v>
      </c>
      <c r="E117" s="249">
        <v>45352</v>
      </c>
      <c r="F117" s="268"/>
      <c r="G117" s="268"/>
      <c r="H117" s="269" t="s">
        <v>35</v>
      </c>
      <c r="I117" s="270"/>
      <c r="J117" s="272" t="s">
        <v>679</v>
      </c>
      <c r="K117" s="271"/>
      <c r="L117" s="272"/>
      <c r="M117" s="269" t="s">
        <v>31</v>
      </c>
      <c r="N117" s="270"/>
      <c r="O117" s="273" t="s">
        <v>817</v>
      </c>
      <c r="P117" s="273"/>
      <c r="Q117" s="328"/>
      <c r="R117" s="269" t="s">
        <v>31</v>
      </c>
      <c r="S117" s="270"/>
      <c r="T117" s="348" t="s">
        <v>857</v>
      </c>
      <c r="U117" s="359"/>
      <c r="V117" s="361" t="s">
        <v>22</v>
      </c>
      <c r="W117" s="362"/>
      <c r="X117" s="363"/>
      <c r="Y117" s="354" t="s">
        <v>835</v>
      </c>
      <c r="Z117" s="354" t="s">
        <v>393</v>
      </c>
      <c r="AA117" s="354" t="s">
        <v>412</v>
      </c>
      <c r="AB117" s="354" t="s">
        <v>110</v>
      </c>
      <c r="AC117" s="354" t="s">
        <v>468</v>
      </c>
      <c r="AD117" s="354"/>
      <c r="AE117" s="354"/>
      <c r="AF117" s="355" t="s">
        <v>591</v>
      </c>
      <c r="AG117" s="355"/>
      <c r="AH117" s="355"/>
      <c r="AI117" s="355"/>
      <c r="AJ117" s="356">
        <v>74</v>
      </c>
      <c r="AK117" s="356"/>
      <c r="AL117" s="356"/>
    </row>
    <row r="118" spans="1:38" ht="168" customHeight="1" thickBot="1">
      <c r="A118" s="239" t="s">
        <v>106</v>
      </c>
      <c r="B118" s="258" t="s">
        <v>328</v>
      </c>
      <c r="C118" s="247" t="s">
        <v>168</v>
      </c>
      <c r="D118" s="248" t="s">
        <v>173</v>
      </c>
      <c r="E118" s="249">
        <v>45352</v>
      </c>
      <c r="F118" s="268"/>
      <c r="G118" s="268"/>
      <c r="H118" s="269" t="s">
        <v>35</v>
      </c>
      <c r="I118" s="270"/>
      <c r="J118" s="272"/>
      <c r="K118" s="271"/>
      <c r="L118" s="272"/>
      <c r="M118" s="269" t="s">
        <v>35</v>
      </c>
      <c r="N118" s="270"/>
      <c r="O118" s="273" t="s">
        <v>818</v>
      </c>
      <c r="P118" s="273"/>
      <c r="Q118" s="328"/>
      <c r="R118" s="269" t="s">
        <v>31</v>
      </c>
      <c r="S118" s="270"/>
      <c r="T118" s="348" t="s">
        <v>858</v>
      </c>
      <c r="U118" s="381"/>
      <c r="V118" s="361" t="s">
        <v>22</v>
      </c>
      <c r="W118" s="362"/>
      <c r="X118" s="353"/>
      <c r="Y118" s="354" t="s">
        <v>835</v>
      </c>
      <c r="Z118" s="354" t="s">
        <v>393</v>
      </c>
      <c r="AA118" s="354" t="s">
        <v>412</v>
      </c>
      <c r="AB118" s="354" t="s">
        <v>110</v>
      </c>
      <c r="AC118" s="354" t="s">
        <v>467</v>
      </c>
      <c r="AD118" s="354" t="s">
        <v>468</v>
      </c>
      <c r="AE118" s="354"/>
      <c r="AF118" s="355" t="s">
        <v>591</v>
      </c>
      <c r="AG118" s="355"/>
      <c r="AH118" s="355"/>
      <c r="AI118" s="355" t="s">
        <v>591</v>
      </c>
      <c r="AJ118" s="356">
        <v>75</v>
      </c>
      <c r="AK118" s="356"/>
      <c r="AL118" s="356"/>
    </row>
    <row r="119" spans="1:38" ht="168" customHeight="1" thickBot="1">
      <c r="A119" s="239" t="s">
        <v>105</v>
      </c>
      <c r="B119" s="258" t="s">
        <v>230</v>
      </c>
      <c r="C119" s="247" t="s">
        <v>231</v>
      </c>
      <c r="D119" s="248" t="s">
        <v>232</v>
      </c>
      <c r="E119" s="249">
        <v>45352</v>
      </c>
      <c r="F119" s="268"/>
      <c r="G119" s="268"/>
      <c r="H119" s="269" t="s">
        <v>35</v>
      </c>
      <c r="I119" s="270"/>
      <c r="J119" s="272"/>
      <c r="K119" s="271"/>
      <c r="L119" s="272"/>
      <c r="M119" s="269" t="s">
        <v>35</v>
      </c>
      <c r="N119" s="270"/>
      <c r="O119" s="273" t="s">
        <v>819</v>
      </c>
      <c r="P119" s="273"/>
      <c r="Q119" s="328"/>
      <c r="R119" s="269" t="s">
        <v>35</v>
      </c>
      <c r="S119" s="270"/>
      <c r="T119" s="348" t="s">
        <v>876</v>
      </c>
      <c r="U119" s="359"/>
      <c r="V119" s="361" t="s">
        <v>22</v>
      </c>
      <c r="W119" s="362"/>
      <c r="X119" s="353"/>
      <c r="Y119" s="354" t="s">
        <v>834</v>
      </c>
      <c r="Z119" s="354" t="s">
        <v>386</v>
      </c>
      <c r="AA119" s="354" t="s">
        <v>404</v>
      </c>
      <c r="AB119" s="354" t="s">
        <v>109</v>
      </c>
      <c r="AC119" s="354" t="s">
        <v>467</v>
      </c>
      <c r="AD119" s="354" t="s">
        <v>201</v>
      </c>
      <c r="AE119" s="354"/>
      <c r="AF119" s="355"/>
      <c r="AG119" s="355"/>
      <c r="AH119" s="355" t="s">
        <v>591</v>
      </c>
      <c r="AI119" s="355" t="s">
        <v>591</v>
      </c>
      <c r="AJ119" s="356">
        <v>11</v>
      </c>
      <c r="AK119" s="356"/>
      <c r="AL119" s="356"/>
    </row>
    <row r="120" spans="1:38" ht="168" customHeight="1" thickBot="1">
      <c r="A120" s="239" t="s">
        <v>105</v>
      </c>
      <c r="B120" s="258" t="s">
        <v>245</v>
      </c>
      <c r="C120" s="247" t="s">
        <v>219</v>
      </c>
      <c r="D120" s="248" t="s">
        <v>246</v>
      </c>
      <c r="E120" s="249">
        <v>45352</v>
      </c>
      <c r="F120" s="268" t="s">
        <v>523</v>
      </c>
      <c r="G120" s="268"/>
      <c r="H120" s="269" t="s">
        <v>31</v>
      </c>
      <c r="I120" s="270"/>
      <c r="J120" s="272" t="s">
        <v>688</v>
      </c>
      <c r="K120" s="271"/>
      <c r="L120" s="272"/>
      <c r="M120" s="269" t="s">
        <v>31</v>
      </c>
      <c r="N120" s="270"/>
      <c r="O120" s="273" t="s">
        <v>721</v>
      </c>
      <c r="P120" s="273"/>
      <c r="Q120" s="328"/>
      <c r="R120" s="269" t="s">
        <v>31</v>
      </c>
      <c r="S120" s="270"/>
      <c r="T120" s="336" t="s">
        <v>877</v>
      </c>
      <c r="U120" s="392"/>
      <c r="V120" s="361" t="s">
        <v>26</v>
      </c>
      <c r="W120" s="362"/>
      <c r="X120" s="363"/>
      <c r="Y120" s="354" t="s">
        <v>837</v>
      </c>
      <c r="Z120" s="354" t="s">
        <v>386</v>
      </c>
      <c r="AA120" s="354" t="s">
        <v>405</v>
      </c>
      <c r="AB120" s="354" t="s">
        <v>202</v>
      </c>
      <c r="AC120" s="354" t="s">
        <v>468</v>
      </c>
      <c r="AD120" s="354" t="s">
        <v>572</v>
      </c>
      <c r="AE120" s="354"/>
      <c r="AF120" s="355" t="s">
        <v>591</v>
      </c>
      <c r="AG120" s="355" t="s">
        <v>591</v>
      </c>
      <c r="AH120" s="355"/>
      <c r="AI120" s="355"/>
      <c r="AJ120" s="356">
        <v>18</v>
      </c>
      <c r="AK120" s="356"/>
      <c r="AL120" s="356"/>
    </row>
    <row r="121" spans="1:38" ht="168" customHeight="1" thickBot="1">
      <c r="A121" s="239" t="s">
        <v>105</v>
      </c>
      <c r="B121" s="258" t="s">
        <v>253</v>
      </c>
      <c r="C121" s="247" t="s">
        <v>254</v>
      </c>
      <c r="D121" s="248" t="s">
        <v>255</v>
      </c>
      <c r="E121" s="253" t="s">
        <v>250</v>
      </c>
      <c r="F121" s="268" t="s">
        <v>582</v>
      </c>
      <c r="G121" s="268"/>
      <c r="H121" s="269" t="s">
        <v>31</v>
      </c>
      <c r="I121" s="270"/>
      <c r="J121" s="272" t="s">
        <v>689</v>
      </c>
      <c r="K121" s="271"/>
      <c r="L121" s="272"/>
      <c r="M121" s="269" t="s">
        <v>31</v>
      </c>
      <c r="N121" s="270"/>
      <c r="O121" s="273" t="s">
        <v>719</v>
      </c>
      <c r="P121" s="273"/>
      <c r="Q121" s="328"/>
      <c r="R121" s="269" t="s">
        <v>22</v>
      </c>
      <c r="S121" s="270"/>
      <c r="T121" s="337" t="s">
        <v>921</v>
      </c>
      <c r="U121" s="359"/>
      <c r="V121" s="361" t="s">
        <v>22</v>
      </c>
      <c r="W121" s="362"/>
      <c r="X121" s="353"/>
      <c r="Y121" s="354" t="s">
        <v>837</v>
      </c>
      <c r="Z121" s="354" t="s">
        <v>386</v>
      </c>
      <c r="AA121" s="354" t="s">
        <v>405</v>
      </c>
      <c r="AB121" s="354" t="s">
        <v>110</v>
      </c>
      <c r="AC121" s="354" t="s">
        <v>468</v>
      </c>
      <c r="AD121" s="354"/>
      <c r="AE121" s="354"/>
      <c r="AF121" s="355" t="s">
        <v>591</v>
      </c>
      <c r="AG121" s="355"/>
      <c r="AH121" s="355"/>
      <c r="AI121" s="355"/>
      <c r="AJ121" s="356">
        <v>21</v>
      </c>
      <c r="AK121" s="356"/>
      <c r="AL121" s="356"/>
    </row>
    <row r="122" spans="1:38" ht="168" customHeight="1" thickBot="1">
      <c r="A122" s="239" t="s">
        <v>105</v>
      </c>
      <c r="B122" s="258" t="s">
        <v>256</v>
      </c>
      <c r="C122" s="247" t="s">
        <v>254</v>
      </c>
      <c r="D122" s="248" t="s">
        <v>257</v>
      </c>
      <c r="E122" s="253" t="s">
        <v>250</v>
      </c>
      <c r="F122" s="268" t="s">
        <v>524</v>
      </c>
      <c r="G122" s="268"/>
      <c r="H122" s="269" t="s">
        <v>31</v>
      </c>
      <c r="I122" s="270"/>
      <c r="J122" s="272" t="s">
        <v>623</v>
      </c>
      <c r="K122" s="271"/>
      <c r="L122" s="272"/>
      <c r="M122" s="269" t="s">
        <v>31</v>
      </c>
      <c r="N122" s="270"/>
      <c r="O122" s="273" t="s">
        <v>820</v>
      </c>
      <c r="P122" s="273"/>
      <c r="Q122" s="328"/>
      <c r="R122" s="269" t="s">
        <v>22</v>
      </c>
      <c r="S122" s="270"/>
      <c r="T122" s="337" t="s">
        <v>921</v>
      </c>
      <c r="U122" s="359"/>
      <c r="V122" s="361" t="s">
        <v>22</v>
      </c>
      <c r="W122" s="362"/>
      <c r="X122" s="363"/>
      <c r="Y122" s="354" t="s">
        <v>837</v>
      </c>
      <c r="Z122" s="354" t="s">
        <v>386</v>
      </c>
      <c r="AA122" s="354" t="s">
        <v>405</v>
      </c>
      <c r="AB122" s="354" t="s">
        <v>110</v>
      </c>
      <c r="AC122" s="354" t="s">
        <v>468</v>
      </c>
      <c r="AD122" s="354"/>
      <c r="AE122" s="354"/>
      <c r="AF122" s="355" t="s">
        <v>591</v>
      </c>
      <c r="AG122" s="355"/>
      <c r="AH122" s="355"/>
      <c r="AI122" s="355"/>
      <c r="AJ122" s="356">
        <v>22</v>
      </c>
      <c r="AK122" s="356"/>
      <c r="AL122" s="356"/>
    </row>
    <row r="123" spans="1:38" ht="168" customHeight="1" thickBot="1">
      <c r="A123" s="239" t="s">
        <v>105</v>
      </c>
      <c r="B123" s="258" t="s">
        <v>258</v>
      </c>
      <c r="C123" s="247" t="s">
        <v>254</v>
      </c>
      <c r="D123" s="248" t="s">
        <v>259</v>
      </c>
      <c r="E123" s="253" t="s">
        <v>250</v>
      </c>
      <c r="F123" s="268"/>
      <c r="G123" s="268"/>
      <c r="H123" s="269" t="s">
        <v>35</v>
      </c>
      <c r="I123" s="270"/>
      <c r="J123" s="271"/>
      <c r="K123" s="271"/>
      <c r="L123" s="272"/>
      <c r="M123" s="269" t="s">
        <v>35</v>
      </c>
      <c r="N123" s="270"/>
      <c r="O123" s="273" t="s">
        <v>720</v>
      </c>
      <c r="P123" s="273"/>
      <c r="Q123" s="328"/>
      <c r="R123" s="269" t="s">
        <v>22</v>
      </c>
      <c r="S123" s="270"/>
      <c r="T123" s="337" t="s">
        <v>921</v>
      </c>
      <c r="U123" s="359"/>
      <c r="V123" s="361" t="s">
        <v>22</v>
      </c>
      <c r="W123" s="362"/>
      <c r="X123" s="363"/>
      <c r="Y123" s="354" t="s">
        <v>837</v>
      </c>
      <c r="Z123" s="354" t="s">
        <v>386</v>
      </c>
      <c r="AA123" s="354" t="s">
        <v>405</v>
      </c>
      <c r="AB123" s="354" t="s">
        <v>110</v>
      </c>
      <c r="AC123" s="354" t="s">
        <v>468</v>
      </c>
      <c r="AD123" s="354"/>
      <c r="AE123" s="354"/>
      <c r="AF123" s="355" t="s">
        <v>591</v>
      </c>
      <c r="AG123" s="355"/>
      <c r="AH123" s="355"/>
      <c r="AI123" s="355"/>
      <c r="AJ123" s="356">
        <v>23</v>
      </c>
      <c r="AK123" s="356"/>
      <c r="AL123" s="356"/>
    </row>
    <row r="124" spans="1:38" ht="168" customHeight="1" thickBot="1">
      <c r="A124" s="239" t="s">
        <v>105</v>
      </c>
      <c r="B124" s="258" t="s">
        <v>294</v>
      </c>
      <c r="C124" s="247" t="s">
        <v>156</v>
      </c>
      <c r="D124" s="248" t="s">
        <v>157</v>
      </c>
      <c r="E124" s="249">
        <v>45352</v>
      </c>
      <c r="F124" s="268"/>
      <c r="G124" s="268"/>
      <c r="H124" s="269" t="s">
        <v>35</v>
      </c>
      <c r="I124" s="270"/>
      <c r="J124" s="272" t="s">
        <v>680</v>
      </c>
      <c r="K124" s="271"/>
      <c r="L124" s="272"/>
      <c r="M124" s="269" t="s">
        <v>31</v>
      </c>
      <c r="N124" s="270"/>
      <c r="O124" s="273" t="s">
        <v>722</v>
      </c>
      <c r="P124" s="273"/>
      <c r="Q124" s="328"/>
      <c r="R124" s="269" t="s">
        <v>31</v>
      </c>
      <c r="S124" s="270"/>
      <c r="T124" s="348" t="s">
        <v>878</v>
      </c>
      <c r="U124" s="359"/>
      <c r="V124" s="361" t="s">
        <v>22</v>
      </c>
      <c r="W124" s="362"/>
      <c r="X124" s="363"/>
      <c r="Y124" s="354" t="s">
        <v>837</v>
      </c>
      <c r="Z124" s="354" t="s">
        <v>386</v>
      </c>
      <c r="AA124" s="354" t="s">
        <v>412</v>
      </c>
      <c r="AB124" s="354" t="s">
        <v>202</v>
      </c>
      <c r="AC124" s="354" t="s">
        <v>468</v>
      </c>
      <c r="AD124" s="354" t="s">
        <v>572</v>
      </c>
      <c r="AE124" s="354"/>
      <c r="AF124" s="355" t="s">
        <v>591</v>
      </c>
      <c r="AG124" s="355" t="s">
        <v>591</v>
      </c>
      <c r="AH124" s="355"/>
      <c r="AI124" s="355"/>
      <c r="AJ124" s="356">
        <v>40</v>
      </c>
      <c r="AK124" s="356"/>
      <c r="AL124" s="356"/>
    </row>
    <row r="125" spans="1:38" ht="168" customHeight="1" thickBot="1">
      <c r="A125" s="239" t="s">
        <v>105</v>
      </c>
      <c r="B125" s="258" t="s">
        <v>300</v>
      </c>
      <c r="C125" s="247" t="s">
        <v>296</v>
      </c>
      <c r="D125" s="248" t="s">
        <v>158</v>
      </c>
      <c r="E125" s="249">
        <v>45170</v>
      </c>
      <c r="F125" s="268" t="s">
        <v>525</v>
      </c>
      <c r="G125" s="268"/>
      <c r="H125" s="269" t="s">
        <v>31</v>
      </c>
      <c r="I125" s="270"/>
      <c r="J125" s="281" t="s">
        <v>624</v>
      </c>
      <c r="K125" s="326"/>
      <c r="L125" s="280"/>
      <c r="M125" s="269" t="s">
        <v>22</v>
      </c>
      <c r="N125" s="270"/>
      <c r="O125" s="281" t="s">
        <v>821</v>
      </c>
      <c r="P125" s="326"/>
      <c r="Q125" s="280"/>
      <c r="R125" s="269" t="s">
        <v>22</v>
      </c>
      <c r="S125" s="270"/>
      <c r="T125" s="365" t="s">
        <v>772</v>
      </c>
      <c r="U125" s="366"/>
      <c r="V125" s="361" t="s">
        <v>22</v>
      </c>
      <c r="W125" s="367"/>
      <c r="X125" s="363"/>
      <c r="Y125" s="354" t="s">
        <v>837</v>
      </c>
      <c r="Z125" s="354" t="s">
        <v>386</v>
      </c>
      <c r="AA125" s="354" t="s">
        <v>412</v>
      </c>
      <c r="AB125" s="354" t="s">
        <v>202</v>
      </c>
      <c r="AC125" s="354" t="s">
        <v>572</v>
      </c>
      <c r="AD125" s="354"/>
      <c r="AE125" s="354"/>
      <c r="AF125" s="355"/>
      <c r="AG125" s="355" t="s">
        <v>591</v>
      </c>
      <c r="AH125" s="355"/>
      <c r="AI125" s="355"/>
      <c r="AJ125" s="356">
        <v>44</v>
      </c>
      <c r="AK125" s="356"/>
      <c r="AL125" s="356"/>
    </row>
    <row r="126" spans="1:38" ht="168" customHeight="1" thickBot="1">
      <c r="A126" s="239" t="s">
        <v>105</v>
      </c>
      <c r="B126" s="258" t="s">
        <v>306</v>
      </c>
      <c r="C126" s="247" t="s">
        <v>162</v>
      </c>
      <c r="D126" s="248" t="s">
        <v>199</v>
      </c>
      <c r="E126" s="249" t="s">
        <v>134</v>
      </c>
      <c r="F126" s="286"/>
      <c r="G126" s="268"/>
      <c r="H126" s="269" t="s">
        <v>35</v>
      </c>
      <c r="I126" s="287"/>
      <c r="J126" s="339" t="s">
        <v>681</v>
      </c>
      <c r="K126" s="339"/>
      <c r="L126" s="340"/>
      <c r="M126" s="341" t="s">
        <v>31</v>
      </c>
      <c r="N126" s="316"/>
      <c r="O126" s="342" t="s">
        <v>718</v>
      </c>
      <c r="P126" s="342"/>
      <c r="Q126" s="343"/>
      <c r="R126" s="341" t="s">
        <v>31</v>
      </c>
      <c r="S126" s="316"/>
      <c r="T126" s="382" t="s">
        <v>879</v>
      </c>
      <c r="U126" s="359"/>
      <c r="V126" s="361" t="s">
        <v>22</v>
      </c>
      <c r="W126" s="352" t="s">
        <v>925</v>
      </c>
      <c r="X126" s="353"/>
      <c r="Y126" s="354" t="s">
        <v>837</v>
      </c>
      <c r="Z126" s="354" t="s">
        <v>386</v>
      </c>
      <c r="AA126" s="354" t="s">
        <v>412</v>
      </c>
      <c r="AB126" s="354" t="s">
        <v>202</v>
      </c>
      <c r="AC126" s="354" t="s">
        <v>572</v>
      </c>
      <c r="AD126" s="354" t="s">
        <v>467</v>
      </c>
      <c r="AE126" s="354"/>
      <c r="AF126" s="355"/>
      <c r="AG126" s="355" t="s">
        <v>591</v>
      </c>
      <c r="AH126" s="355"/>
      <c r="AI126" s="355" t="s">
        <v>591</v>
      </c>
      <c r="AJ126" s="356">
        <v>50</v>
      </c>
      <c r="AK126" s="356"/>
      <c r="AL126" s="356"/>
    </row>
    <row r="127" spans="1:38" ht="168" customHeight="1" thickBot="1">
      <c r="A127" s="239" t="s">
        <v>105</v>
      </c>
      <c r="B127" s="258" t="s">
        <v>307</v>
      </c>
      <c r="C127" s="247" t="s">
        <v>91</v>
      </c>
      <c r="D127" s="248" t="s">
        <v>152</v>
      </c>
      <c r="E127" s="249">
        <v>45139</v>
      </c>
      <c r="F127" s="268" t="s">
        <v>568</v>
      </c>
      <c r="G127" s="268"/>
      <c r="H127" s="269" t="s">
        <v>31</v>
      </c>
      <c r="I127" s="270"/>
      <c r="J127" s="271" t="s">
        <v>682</v>
      </c>
      <c r="K127" s="271"/>
      <c r="L127" s="272"/>
      <c r="M127" s="269" t="s">
        <v>22</v>
      </c>
      <c r="N127" s="270"/>
      <c r="O127" s="281" t="s">
        <v>821</v>
      </c>
      <c r="P127" s="273"/>
      <c r="Q127" s="328"/>
      <c r="R127" s="269" t="s">
        <v>22</v>
      </c>
      <c r="S127" s="270"/>
      <c r="T127" s="364" t="s">
        <v>772</v>
      </c>
      <c r="U127" s="359"/>
      <c r="V127" s="361" t="s">
        <v>22</v>
      </c>
      <c r="W127" s="362"/>
      <c r="X127" s="353"/>
      <c r="Y127" s="354" t="s">
        <v>837</v>
      </c>
      <c r="Z127" s="354" t="s">
        <v>386</v>
      </c>
      <c r="AA127" s="354" t="s">
        <v>412</v>
      </c>
      <c r="AB127" s="354" t="s">
        <v>110</v>
      </c>
      <c r="AC127" s="354" t="s">
        <v>468</v>
      </c>
      <c r="AD127" s="354"/>
      <c r="AE127" s="354"/>
      <c r="AF127" s="355" t="s">
        <v>591</v>
      </c>
      <c r="AG127" s="355"/>
      <c r="AH127" s="355"/>
      <c r="AI127" s="355"/>
      <c r="AJ127" s="356">
        <v>51</v>
      </c>
      <c r="AK127" s="356"/>
      <c r="AL127" s="356"/>
    </row>
    <row r="128" spans="1:38" ht="168" customHeight="1" thickBot="1">
      <c r="A128" s="239" t="s">
        <v>105</v>
      </c>
      <c r="B128" s="258" t="s">
        <v>308</v>
      </c>
      <c r="C128" s="247" t="s">
        <v>91</v>
      </c>
      <c r="D128" s="248" t="s">
        <v>154</v>
      </c>
      <c r="E128" s="249">
        <v>45352</v>
      </c>
      <c r="F128" s="268" t="s">
        <v>569</v>
      </c>
      <c r="G128" s="268"/>
      <c r="H128" s="269" t="s">
        <v>31</v>
      </c>
      <c r="I128" s="270"/>
      <c r="J128" s="271" t="s">
        <v>625</v>
      </c>
      <c r="K128" s="271"/>
      <c r="L128" s="272"/>
      <c r="M128" s="269" t="s">
        <v>31</v>
      </c>
      <c r="N128" s="270"/>
      <c r="O128" s="273" t="s">
        <v>822</v>
      </c>
      <c r="P128" s="273"/>
      <c r="Q128" s="328"/>
      <c r="R128" s="269" t="s">
        <v>31</v>
      </c>
      <c r="S128" s="270"/>
      <c r="T128" s="348" t="s">
        <v>880</v>
      </c>
      <c r="U128" s="364"/>
      <c r="V128" s="361" t="s">
        <v>22</v>
      </c>
      <c r="W128" s="362"/>
      <c r="X128" s="353"/>
      <c r="Y128" s="354" t="s">
        <v>837</v>
      </c>
      <c r="Z128" s="354" t="s">
        <v>386</v>
      </c>
      <c r="AA128" s="354" t="s">
        <v>412</v>
      </c>
      <c r="AB128" s="354" t="s">
        <v>110</v>
      </c>
      <c r="AC128" s="354" t="s">
        <v>468</v>
      </c>
      <c r="AD128" s="354"/>
      <c r="AE128" s="354"/>
      <c r="AF128" s="355" t="s">
        <v>591</v>
      </c>
      <c r="AG128" s="355"/>
      <c r="AH128" s="355"/>
      <c r="AI128" s="355"/>
      <c r="AJ128" s="356">
        <v>52</v>
      </c>
      <c r="AK128" s="356"/>
      <c r="AL128" s="356"/>
    </row>
    <row r="129" spans="1:38" ht="168" customHeight="1" thickBot="1">
      <c r="A129" s="239" t="s">
        <v>105</v>
      </c>
      <c r="B129" s="258" t="s">
        <v>309</v>
      </c>
      <c r="C129" s="247" t="s">
        <v>91</v>
      </c>
      <c r="D129" s="248" t="s">
        <v>203</v>
      </c>
      <c r="E129" s="249" t="s">
        <v>155</v>
      </c>
      <c r="F129" s="268"/>
      <c r="G129" s="268"/>
      <c r="H129" s="269" t="s">
        <v>35</v>
      </c>
      <c r="I129" s="287"/>
      <c r="J129" s="271" t="s">
        <v>626</v>
      </c>
      <c r="K129" s="271"/>
      <c r="L129" s="272"/>
      <c r="M129" s="269" t="s">
        <v>31</v>
      </c>
      <c r="N129" s="270"/>
      <c r="O129" s="276" t="s">
        <v>723</v>
      </c>
      <c r="P129" s="273"/>
      <c r="Q129" s="328"/>
      <c r="R129" s="269" t="s">
        <v>31</v>
      </c>
      <c r="S129" s="270"/>
      <c r="T129" s="348" t="s">
        <v>881</v>
      </c>
      <c r="U129" s="364"/>
      <c r="V129" s="361" t="s">
        <v>22</v>
      </c>
      <c r="W129" s="364"/>
      <c r="X129" s="353"/>
      <c r="Y129" s="354" t="s">
        <v>837</v>
      </c>
      <c r="Z129" s="354" t="s">
        <v>386</v>
      </c>
      <c r="AA129" s="354" t="s">
        <v>412</v>
      </c>
      <c r="AB129" s="354" t="s">
        <v>110</v>
      </c>
      <c r="AC129" s="354" t="s">
        <v>468</v>
      </c>
      <c r="AD129" s="354"/>
      <c r="AE129" s="354"/>
      <c r="AF129" s="355" t="s">
        <v>591</v>
      </c>
      <c r="AG129" s="355"/>
      <c r="AH129" s="355"/>
      <c r="AI129" s="355"/>
      <c r="AJ129" s="356">
        <v>53</v>
      </c>
      <c r="AK129" s="356"/>
      <c r="AL129" s="356"/>
    </row>
    <row r="130" spans="1:38" ht="168" customHeight="1" thickBot="1">
      <c r="A130" s="239" t="s">
        <v>105</v>
      </c>
      <c r="B130" s="258" t="s">
        <v>311</v>
      </c>
      <c r="C130" s="247" t="s">
        <v>91</v>
      </c>
      <c r="D130" s="248" t="s">
        <v>153</v>
      </c>
      <c r="E130" s="249">
        <v>45231</v>
      </c>
      <c r="F130" s="268" t="s">
        <v>525</v>
      </c>
      <c r="G130" s="268"/>
      <c r="H130" s="269" t="s">
        <v>31</v>
      </c>
      <c r="I130" s="270"/>
      <c r="J130" s="276" t="s">
        <v>627</v>
      </c>
      <c r="K130" s="276"/>
      <c r="L130" s="277"/>
      <c r="M130" s="269" t="s">
        <v>31</v>
      </c>
      <c r="N130" s="278"/>
      <c r="O130" s="273" t="s">
        <v>724</v>
      </c>
      <c r="P130" s="273"/>
      <c r="Q130" s="328"/>
      <c r="R130" s="269" t="s">
        <v>22</v>
      </c>
      <c r="S130" s="278"/>
      <c r="T130" s="336" t="s">
        <v>921</v>
      </c>
      <c r="U130" s="357"/>
      <c r="V130" s="361" t="s">
        <v>22</v>
      </c>
      <c r="W130" s="358"/>
      <c r="X130" s="353"/>
      <c r="Y130" s="354" t="s">
        <v>837</v>
      </c>
      <c r="Z130" s="354" t="s">
        <v>386</v>
      </c>
      <c r="AA130" s="354" t="s">
        <v>412</v>
      </c>
      <c r="AB130" s="354" t="s">
        <v>110</v>
      </c>
      <c r="AC130" s="354" t="s">
        <v>468</v>
      </c>
      <c r="AD130" s="354"/>
      <c r="AE130" s="354"/>
      <c r="AF130" s="355" t="s">
        <v>591</v>
      </c>
      <c r="AG130" s="355"/>
      <c r="AH130" s="355"/>
      <c r="AI130" s="355"/>
      <c r="AJ130" s="356">
        <v>55</v>
      </c>
      <c r="AK130" s="356"/>
      <c r="AL130" s="356"/>
    </row>
    <row r="131" spans="1:38" ht="168" customHeight="1" thickBot="1">
      <c r="A131" s="239" t="s">
        <v>409</v>
      </c>
      <c r="B131" s="258" t="s">
        <v>362</v>
      </c>
      <c r="C131" s="247" t="s">
        <v>4</v>
      </c>
      <c r="D131" s="248" t="s">
        <v>88</v>
      </c>
      <c r="E131" s="249" t="s">
        <v>100</v>
      </c>
      <c r="F131" s="295" t="s">
        <v>491</v>
      </c>
      <c r="G131" s="268"/>
      <c r="H131" s="269" t="s">
        <v>31</v>
      </c>
      <c r="I131" s="270"/>
      <c r="J131" s="276" t="s">
        <v>712</v>
      </c>
      <c r="K131" s="276"/>
      <c r="L131" s="276"/>
      <c r="M131" s="269" t="s">
        <v>31</v>
      </c>
      <c r="N131" s="278"/>
      <c r="O131" s="276" t="s">
        <v>730</v>
      </c>
      <c r="P131" s="273"/>
      <c r="Q131" s="328"/>
      <c r="R131" s="269" t="s">
        <v>31</v>
      </c>
      <c r="S131" s="278"/>
      <c r="T131" s="336" t="s">
        <v>868</v>
      </c>
      <c r="U131" s="391">
        <v>1</v>
      </c>
      <c r="V131" s="361" t="s">
        <v>22</v>
      </c>
      <c r="W131" s="358" t="s">
        <v>930</v>
      </c>
      <c r="X131" s="363"/>
      <c r="Y131" s="354" t="s">
        <v>201</v>
      </c>
      <c r="Z131" s="354" t="s">
        <v>388</v>
      </c>
      <c r="AA131" s="354" t="s">
        <v>412</v>
      </c>
      <c r="AB131" s="354" t="s">
        <v>201</v>
      </c>
      <c r="AC131" s="354" t="s">
        <v>467</v>
      </c>
      <c r="AD131" s="354" t="s">
        <v>201</v>
      </c>
      <c r="AE131" s="354"/>
      <c r="AF131" s="355"/>
      <c r="AG131" s="355"/>
      <c r="AH131" s="355" t="s">
        <v>591</v>
      </c>
      <c r="AI131" s="355" t="s">
        <v>591</v>
      </c>
      <c r="AJ131" s="356">
        <v>105</v>
      </c>
      <c r="AK131" s="356"/>
      <c r="AL131" s="356"/>
    </row>
    <row r="132" spans="1:38" ht="168" customHeight="1" thickBot="1">
      <c r="A132" s="239" t="s">
        <v>409</v>
      </c>
      <c r="B132" s="258" t="s">
        <v>363</v>
      </c>
      <c r="C132" s="247" t="s">
        <v>6</v>
      </c>
      <c r="D132" s="248" t="s">
        <v>88</v>
      </c>
      <c r="E132" s="249" t="s">
        <v>100</v>
      </c>
      <c r="F132" s="286" t="s">
        <v>493</v>
      </c>
      <c r="G132" s="268"/>
      <c r="H132" s="269" t="s">
        <v>31</v>
      </c>
      <c r="I132" s="270"/>
      <c r="J132" s="271" t="s">
        <v>713</v>
      </c>
      <c r="K132" s="271"/>
      <c r="L132" s="272"/>
      <c r="M132" s="269" t="s">
        <v>31</v>
      </c>
      <c r="N132" s="270"/>
      <c r="O132" s="271" t="s">
        <v>731</v>
      </c>
      <c r="P132" s="273"/>
      <c r="Q132" s="328"/>
      <c r="R132" s="269" t="s">
        <v>31</v>
      </c>
      <c r="S132" s="270"/>
      <c r="T132" s="348" t="s">
        <v>869</v>
      </c>
      <c r="U132" s="350">
        <v>0.93</v>
      </c>
      <c r="V132" s="361" t="s">
        <v>23</v>
      </c>
      <c r="W132" s="352" t="s">
        <v>928</v>
      </c>
      <c r="X132" s="353"/>
      <c r="Y132" s="354" t="s">
        <v>201</v>
      </c>
      <c r="Z132" s="354" t="s">
        <v>388</v>
      </c>
      <c r="AA132" s="354" t="s">
        <v>412</v>
      </c>
      <c r="AB132" s="354" t="s">
        <v>201</v>
      </c>
      <c r="AC132" s="354" t="s">
        <v>467</v>
      </c>
      <c r="AD132" s="354" t="s">
        <v>201</v>
      </c>
      <c r="AE132" s="354"/>
      <c r="AF132" s="355"/>
      <c r="AG132" s="355"/>
      <c r="AH132" s="355" t="s">
        <v>591</v>
      </c>
      <c r="AI132" s="355" t="s">
        <v>591</v>
      </c>
      <c r="AJ132" s="356">
        <v>106</v>
      </c>
      <c r="AK132" s="356"/>
      <c r="AL132" s="356"/>
    </row>
    <row r="133" spans="1:38" ht="168" customHeight="1" thickBot="1">
      <c r="A133" s="239" t="s">
        <v>409</v>
      </c>
      <c r="B133" s="258" t="s">
        <v>364</v>
      </c>
      <c r="C133" s="247" t="s">
        <v>7</v>
      </c>
      <c r="D133" s="248" t="s">
        <v>5</v>
      </c>
      <c r="E133" s="249" t="s">
        <v>100</v>
      </c>
      <c r="F133" s="268" t="s">
        <v>492</v>
      </c>
      <c r="G133" s="268"/>
      <c r="H133" s="269" t="s">
        <v>31</v>
      </c>
      <c r="I133" s="270"/>
      <c r="J133" s="271" t="s">
        <v>714</v>
      </c>
      <c r="K133" s="271"/>
      <c r="L133" s="272"/>
      <c r="M133" s="269" t="s">
        <v>31</v>
      </c>
      <c r="N133" s="270"/>
      <c r="O133" s="271" t="s">
        <v>732</v>
      </c>
      <c r="P133" s="273"/>
      <c r="Q133" s="328"/>
      <c r="R133" s="269" t="s">
        <v>32</v>
      </c>
      <c r="S133" s="270"/>
      <c r="T133" s="348" t="s">
        <v>870</v>
      </c>
      <c r="U133" s="351">
        <v>0.92</v>
      </c>
      <c r="V133" s="361" t="s">
        <v>23</v>
      </c>
      <c r="W133" s="352" t="s">
        <v>929</v>
      </c>
      <c r="X133" s="353"/>
      <c r="Y133" s="354" t="s">
        <v>201</v>
      </c>
      <c r="Z133" s="354" t="s">
        <v>388</v>
      </c>
      <c r="AA133" s="354" t="s">
        <v>412</v>
      </c>
      <c r="AB133" s="354" t="s">
        <v>201</v>
      </c>
      <c r="AC133" s="354" t="s">
        <v>467</v>
      </c>
      <c r="AD133" s="354" t="s">
        <v>201</v>
      </c>
      <c r="AE133" s="354"/>
      <c r="AF133" s="355"/>
      <c r="AG133" s="355"/>
      <c r="AH133" s="355" t="s">
        <v>591</v>
      </c>
      <c r="AI133" s="355" t="s">
        <v>591</v>
      </c>
      <c r="AJ133" s="356">
        <v>107</v>
      </c>
      <c r="AK133" s="356"/>
      <c r="AL133" s="356"/>
    </row>
    <row r="134" spans="1:38" ht="168" customHeight="1" thickBot="1">
      <c r="A134" s="239" t="s">
        <v>409</v>
      </c>
      <c r="B134" s="258" t="s">
        <v>365</v>
      </c>
      <c r="C134" s="247" t="s">
        <v>90</v>
      </c>
      <c r="D134" s="248" t="s">
        <v>186</v>
      </c>
      <c r="E134" s="249">
        <v>45078</v>
      </c>
      <c r="F134" s="288" t="s">
        <v>494</v>
      </c>
      <c r="G134" s="268"/>
      <c r="H134" s="269" t="s">
        <v>31</v>
      </c>
      <c r="I134" s="270"/>
      <c r="J134" s="311" t="s">
        <v>683</v>
      </c>
      <c r="K134" s="312"/>
      <c r="L134" s="306"/>
      <c r="M134" s="269" t="s">
        <v>31</v>
      </c>
      <c r="N134" s="278"/>
      <c r="O134" s="311" t="s">
        <v>733</v>
      </c>
      <c r="P134" s="273"/>
      <c r="Q134" s="328"/>
      <c r="R134" s="269" t="s">
        <v>31</v>
      </c>
      <c r="S134" s="278"/>
      <c r="T134" s="375" t="s">
        <v>871</v>
      </c>
      <c r="U134" s="387"/>
      <c r="V134" s="361" t="s">
        <v>22</v>
      </c>
      <c r="W134" s="358"/>
      <c r="X134" s="363"/>
      <c r="Y134" s="354" t="s">
        <v>201</v>
      </c>
      <c r="Z134" s="354" t="s">
        <v>388</v>
      </c>
      <c r="AA134" s="354" t="s">
        <v>412</v>
      </c>
      <c r="AB134" s="354" t="s">
        <v>201</v>
      </c>
      <c r="AC134" s="354" t="s">
        <v>467</v>
      </c>
      <c r="AD134" s="354"/>
      <c r="AE134" s="354"/>
      <c r="AF134" s="355"/>
      <c r="AG134" s="355"/>
      <c r="AH134" s="355"/>
      <c r="AI134" s="355" t="s">
        <v>591</v>
      </c>
      <c r="AJ134" s="356">
        <v>108</v>
      </c>
      <c r="AK134" s="356"/>
      <c r="AL134" s="356"/>
    </row>
    <row r="135" spans="1:38" ht="97.9" customHeight="1">
      <c r="T135" s="393"/>
      <c r="U135" s="393"/>
      <c r="V135" s="393"/>
      <c r="W135" s="393"/>
      <c r="X135" s="394"/>
      <c r="Y135" s="393"/>
      <c r="Z135" s="395"/>
      <c r="AA135" s="395"/>
      <c r="AB135" s="393"/>
      <c r="AC135" s="393"/>
      <c r="AD135" s="393"/>
      <c r="AE135" s="393"/>
      <c r="AF135" s="394">
        <v>34</v>
      </c>
      <c r="AG135" s="394">
        <v>24</v>
      </c>
      <c r="AH135" s="394">
        <v>46</v>
      </c>
      <c r="AI135" s="394">
        <v>57</v>
      </c>
      <c r="AJ135" s="394"/>
      <c r="AK135" s="356"/>
      <c r="AL135" s="356"/>
    </row>
    <row r="136" spans="1:38" ht="97.9" customHeight="1">
      <c r="T136" s="393"/>
      <c r="U136" s="393"/>
      <c r="V136" s="393"/>
      <c r="W136" s="393"/>
      <c r="X136" s="394"/>
      <c r="Y136" s="393"/>
      <c r="Z136" s="395"/>
      <c r="AA136" s="395"/>
      <c r="AB136" s="393"/>
      <c r="AC136" s="393"/>
      <c r="AD136" s="393"/>
      <c r="AE136" s="393"/>
      <c r="AF136" s="393"/>
      <c r="AG136" s="393"/>
      <c r="AH136" s="393"/>
      <c r="AI136" s="393"/>
      <c r="AJ136" s="394"/>
      <c r="AK136" s="356"/>
      <c r="AL136" s="356"/>
    </row>
    <row r="137" spans="1:38" ht="97.9" customHeight="1">
      <c r="T137" s="393"/>
      <c r="U137" s="393"/>
      <c r="V137" s="393"/>
      <c r="W137" s="393"/>
      <c r="X137" s="394"/>
      <c r="Y137" s="393"/>
      <c r="Z137" s="395"/>
      <c r="AA137" s="395"/>
      <c r="AB137" s="393"/>
      <c r="AC137" s="393"/>
      <c r="AD137" s="393"/>
      <c r="AE137" s="393"/>
      <c r="AF137" s="393"/>
      <c r="AG137" s="393"/>
      <c r="AH137" s="393"/>
      <c r="AI137" s="393"/>
      <c r="AJ137" s="394"/>
      <c r="AK137" s="356"/>
      <c r="AL137" s="356"/>
    </row>
    <row r="153" spans="1:1" ht="97.9" customHeight="1">
      <c r="A153" s="241" t="s">
        <v>21</v>
      </c>
    </row>
    <row r="154" spans="1:1" ht="97.9" customHeight="1">
      <c r="A154" s="241" t="s">
        <v>22</v>
      </c>
    </row>
    <row r="155" spans="1:1" ht="97.9" customHeight="1">
      <c r="A155" s="241" t="s">
        <v>23</v>
      </c>
    </row>
    <row r="156" spans="1:1" ht="97.9" customHeight="1">
      <c r="A156" s="241" t="s">
        <v>24</v>
      </c>
    </row>
    <row r="157" spans="1:1" ht="97.9" customHeight="1">
      <c r="A157" s="241" t="s">
        <v>25</v>
      </c>
    </row>
    <row r="158" spans="1:1" ht="97.9" customHeight="1">
      <c r="A158" s="241" t="s">
        <v>26</v>
      </c>
    </row>
    <row r="159" spans="1:1" ht="97.9" customHeight="1">
      <c r="A159" s="241" t="s">
        <v>27</v>
      </c>
    </row>
    <row r="160" spans="1:1" ht="97.9" customHeight="1">
      <c r="A160" s="241" t="s">
        <v>28</v>
      </c>
    </row>
    <row r="161" spans="1:1" ht="97.9" customHeight="1">
      <c r="A161" s="241" t="s">
        <v>29</v>
      </c>
    </row>
    <row r="162" spans="1:1" ht="97.9" customHeight="1">
      <c r="A162" s="241" t="s">
        <v>30</v>
      </c>
    </row>
    <row r="163" spans="1:1" ht="97.9" customHeight="1">
      <c r="A163" s="232"/>
    </row>
    <row r="164" spans="1:1" ht="97.9" customHeight="1">
      <c r="A164" s="232"/>
    </row>
    <row r="165" spans="1:1" ht="97.9" customHeight="1">
      <c r="A165" s="232"/>
    </row>
    <row r="166" spans="1:1" ht="97.9" customHeight="1">
      <c r="A166" s="233"/>
    </row>
    <row r="167" spans="1:1" ht="97.9" customHeight="1">
      <c r="A167" s="233"/>
    </row>
    <row r="168" spans="1:1" ht="97.9" customHeight="1">
      <c r="A168" s="232"/>
    </row>
    <row r="169" spans="1:1" ht="97.9" customHeight="1">
      <c r="A169" s="232"/>
    </row>
    <row r="170" spans="1:1" ht="97.9" customHeight="1">
      <c r="A170" s="232"/>
    </row>
    <row r="171" spans="1:1" ht="97.9" customHeight="1">
      <c r="A171" s="234" t="s">
        <v>22</v>
      </c>
    </row>
    <row r="172" spans="1:1" ht="97.9" customHeight="1">
      <c r="A172" s="234" t="s">
        <v>31</v>
      </c>
    </row>
    <row r="173" spans="1:1" ht="97.9" customHeight="1">
      <c r="A173" s="234" t="s">
        <v>32</v>
      </c>
    </row>
    <row r="174" spans="1:1" ht="97.9" customHeight="1">
      <c r="A174" s="234" t="s">
        <v>26</v>
      </c>
    </row>
    <row r="175" spans="1:1" ht="97.9" customHeight="1">
      <c r="A175" s="234" t="s">
        <v>33</v>
      </c>
    </row>
    <row r="176" spans="1:1" ht="97.9" customHeight="1">
      <c r="A176" s="242" t="s">
        <v>30</v>
      </c>
    </row>
    <row r="177" spans="1:1" ht="97.9" customHeight="1">
      <c r="A177" s="234" t="s">
        <v>35</v>
      </c>
    </row>
    <row r="178" spans="1:1" ht="97.9" customHeight="1">
      <c r="A178" s="234" t="s">
        <v>34</v>
      </c>
    </row>
    <row r="179" spans="1:1" ht="97.9" customHeight="1">
      <c r="A179" s="234" t="s">
        <v>29</v>
      </c>
    </row>
  </sheetData>
  <sheetProtection autoFilter="0" pivotTables="0"/>
  <autoFilter ref="A2:AJ136"/>
  <sortState ref="A3:AK134">
    <sortCondition ref="AJ3:AJ134"/>
  </sortState>
  <mergeCells count="6">
    <mergeCell ref="AF1:AI1"/>
    <mergeCell ref="F1:I1"/>
    <mergeCell ref="J1:N1"/>
    <mergeCell ref="O1:S1"/>
    <mergeCell ref="T1:W1"/>
    <mergeCell ref="AC1:AE1"/>
  </mergeCells>
  <conditionalFormatting sqref="H3:H13 H125:H134 H123 R123 H120 H114:H117 R114:R117 H69:H87 H89:H112 H15:H65 M3:M128 M133:M134 R3:R13 R69:R87 R89:R112 R125:R134 R15:R65 R120">
    <cfRule type="containsText" dxfId="4198" priority="2269" operator="containsText" text="Deferred">
      <formula>NOT(ISERROR(SEARCH("Deferred",H3)))</formula>
    </cfRule>
    <cfRule type="containsText" dxfId="4197" priority="2271" operator="containsText" text="Update Not Provided">
      <formula>NOT(ISERROR(SEARCH("Update Not Provided",H3)))</formula>
    </cfRule>
    <cfRule type="containsText" dxfId="4196" priority="2272" operator="containsText" text="Not Yet Due">
      <formula>NOT(ISERROR(SEARCH("Not Yet Due",H3)))</formula>
    </cfRule>
    <cfRule type="containsText" dxfId="4195" priority="2273" operator="containsText" text="Deleted">
      <formula>NOT(ISERROR(SEARCH("Deleted",H3)))</formula>
    </cfRule>
    <cfRule type="containsText" dxfId="4194" priority="2274" operator="containsText" text="Completed Behind Schedule">
      <formula>NOT(ISERROR(SEARCH("Completed Behind Schedule",H3)))</formula>
    </cfRule>
    <cfRule type="containsText" dxfId="4193" priority="2275" operator="containsText" text="Off Target">
      <formula>NOT(ISERROR(SEARCH("Off Target",H3)))</formula>
    </cfRule>
    <cfRule type="containsText" dxfId="4192" priority="2276" operator="containsText" text="In Danger of Falling Behind Target">
      <formula>NOT(ISERROR(SEARCH("In Danger of Falling Behind Target",H3)))</formula>
    </cfRule>
    <cfRule type="containsText" dxfId="4191" priority="2277" operator="containsText" text="Fully Achieved">
      <formula>NOT(ISERROR(SEARCH("Fully Achieved",H3)))</formula>
    </cfRule>
    <cfRule type="containsText" dxfId="4190" priority="2278" operator="containsText" text="On track to be achieved">
      <formula>NOT(ISERROR(SEARCH("On track to be achieved",H3)))</formula>
    </cfRule>
  </conditionalFormatting>
  <conditionalFormatting sqref="V104:V134 V3:V27 V48:V102">
    <cfRule type="containsText" dxfId="4189" priority="1203" operator="containsText" text="Deleted">
      <formula>NOT(ISERROR(SEARCH("Deleted",V3)))</formula>
    </cfRule>
    <cfRule type="containsText" dxfId="4188" priority="1204" operator="containsText" text="Deferred">
      <formula>NOT(ISERROR(SEARCH("Deferred",V3)))</formula>
    </cfRule>
    <cfRule type="containsText" dxfId="4187" priority="1205" operator="containsText" text="Completion date within reasonable tolerance">
      <formula>NOT(ISERROR(SEARCH("Completion date within reasonable tolerance",V3)))</formula>
    </cfRule>
    <cfRule type="containsText" dxfId="4186" priority="1206" operator="containsText" text="completed significantly after target deadline">
      <formula>NOT(ISERROR(SEARCH("completed significantly after target deadline",V3)))</formula>
    </cfRule>
    <cfRule type="containsText" dxfId="4185" priority="1207" operator="containsText" text="Off target">
      <formula>NOT(ISERROR(SEARCH("Off target",V3)))</formula>
    </cfRule>
    <cfRule type="containsText" dxfId="4184" priority="1208" operator="containsText" text="Target partially met">
      <formula>NOT(ISERROR(SEARCH("Target partially met",V3)))</formula>
    </cfRule>
    <cfRule type="containsText" dxfId="4183" priority="1209" operator="containsText" text="Numerical outturn within 10% tolerance">
      <formula>NOT(ISERROR(SEARCH("Numerical outturn within 10% tolerance",V3)))</formula>
    </cfRule>
    <cfRule type="containsText" dxfId="4182" priority="1210" operator="containsText" text="Numerical outturn within 5% Tolerance">
      <formula>NOT(ISERROR(SEARCH("Numerical outturn within 5% Tolerance",V3)))</formula>
    </cfRule>
    <cfRule type="containsText" dxfId="4181" priority="1211" operator="containsText" text="Fully Achieved">
      <formula>NOT(ISERROR(SEARCH("Fully Achieved",V3)))</formula>
    </cfRule>
    <cfRule type="containsText" dxfId="4180" priority="1212" operator="containsText" text="Update Not Provided">
      <formula>NOT(ISERROR(SEARCH("Update Not Provided",V3)))</formula>
    </cfRule>
    <cfRule type="containsText" dxfId="4179" priority="1213" operator="containsText" text="Deferred">
      <formula>NOT(ISERROR(SEARCH("Deferred",V3)))</formula>
    </cfRule>
    <cfRule type="containsText" dxfId="4178" priority="1214" operator="containsText" text="Update Not Provided">
      <formula>NOT(ISERROR(SEARCH("Update Not Provided",V3)))</formula>
    </cfRule>
    <cfRule type="containsText" dxfId="4177" priority="1215" operator="containsText" text="Not Yet Due">
      <formula>NOT(ISERROR(SEARCH("Not Yet Due",V3)))</formula>
    </cfRule>
    <cfRule type="containsText" dxfId="4176" priority="1216" operator="containsText" text="Deleted">
      <formula>NOT(ISERROR(SEARCH("Deleted",V3)))</formula>
    </cfRule>
    <cfRule type="containsText" dxfId="4175" priority="1217" operator="containsText" text="Completed Behind Schedule">
      <formula>NOT(ISERROR(SEARCH("Completed Behind Schedule",V3)))</formula>
    </cfRule>
    <cfRule type="containsText" dxfId="4174" priority="1218" operator="containsText" text="Off Target">
      <formula>NOT(ISERROR(SEARCH("Off Target",V3)))</formula>
    </cfRule>
    <cfRule type="containsText" dxfId="4173" priority="1219" operator="containsText" text="In Danger of Falling Behind Target">
      <formula>NOT(ISERROR(SEARCH("In Danger of Falling Behind Target",V3)))</formula>
    </cfRule>
    <cfRule type="containsText" dxfId="4172" priority="1220" operator="containsText" text="Fully Achieved">
      <formula>NOT(ISERROR(SEARCH("Fully Achieved",V3)))</formula>
    </cfRule>
    <cfRule type="containsText" dxfId="4171" priority="1221" operator="containsText" text="On track to be achieved">
      <formula>NOT(ISERROR(SEARCH("On track to be achieved",V3)))</formula>
    </cfRule>
  </conditionalFormatting>
  <conditionalFormatting sqref="R124 H124">
    <cfRule type="containsText" dxfId="4170" priority="400" operator="containsText" text="Deferred">
      <formula>NOT(ISERROR(SEARCH("Deferred",H124)))</formula>
    </cfRule>
    <cfRule type="containsText" dxfId="4169" priority="401" operator="containsText" text="Update Not Provided">
      <formula>NOT(ISERROR(SEARCH("Update Not Provided",H124)))</formula>
    </cfRule>
    <cfRule type="containsText" dxfId="4168" priority="402" operator="containsText" text="Not Yet Due">
      <formula>NOT(ISERROR(SEARCH("Not Yet Due",H124)))</formula>
    </cfRule>
    <cfRule type="containsText" dxfId="4167" priority="403" operator="containsText" text="Deleted">
      <formula>NOT(ISERROR(SEARCH("Deleted",H124)))</formula>
    </cfRule>
    <cfRule type="containsText" dxfId="4166" priority="404" operator="containsText" text="Completed Behind Schedule">
      <formula>NOT(ISERROR(SEARCH("Completed Behind Schedule",H124)))</formula>
    </cfRule>
    <cfRule type="containsText" dxfId="4165" priority="405" operator="containsText" text="Off Target">
      <formula>NOT(ISERROR(SEARCH("Off Target",H124)))</formula>
    </cfRule>
    <cfRule type="containsText" dxfId="4164" priority="406" operator="containsText" text="In Danger of Falling Behind Target">
      <formula>NOT(ISERROR(SEARCH("In Danger of Falling Behind Target",H124)))</formula>
    </cfRule>
    <cfRule type="containsText" dxfId="4163" priority="407" operator="containsText" text="Fully Achieved">
      <formula>NOT(ISERROR(SEARCH("Fully Achieved",H124)))</formula>
    </cfRule>
    <cfRule type="containsText" dxfId="4162" priority="408" operator="containsText" text="On track to be achieved">
      <formula>NOT(ISERROR(SEARCH("On track to be achieved",H124)))</formula>
    </cfRule>
  </conditionalFormatting>
  <conditionalFormatting sqref="H122">
    <cfRule type="containsText" dxfId="4161" priority="372" operator="containsText" text="Deferred">
      <formula>NOT(ISERROR(SEARCH("Deferred",H122)))</formula>
    </cfRule>
    <cfRule type="containsText" dxfId="4160" priority="373" operator="containsText" text="Update Not Provided">
      <formula>NOT(ISERROR(SEARCH("Update Not Provided",H122)))</formula>
    </cfRule>
    <cfRule type="containsText" dxfId="4159" priority="374" operator="containsText" text="Not Yet Due">
      <formula>NOT(ISERROR(SEARCH("Not Yet Due",H122)))</formula>
    </cfRule>
    <cfRule type="containsText" dxfId="4158" priority="375" operator="containsText" text="Deleted">
      <formula>NOT(ISERROR(SEARCH("Deleted",H122)))</formula>
    </cfRule>
    <cfRule type="containsText" dxfId="4157" priority="376" operator="containsText" text="Completed Behind Schedule">
      <formula>NOT(ISERROR(SEARCH("Completed Behind Schedule",H122)))</formula>
    </cfRule>
    <cfRule type="containsText" dxfId="4156" priority="377" operator="containsText" text="Off Target">
      <formula>NOT(ISERROR(SEARCH("Off Target",H122)))</formula>
    </cfRule>
    <cfRule type="containsText" dxfId="4155" priority="378" operator="containsText" text="In Danger of Falling Behind Target">
      <formula>NOT(ISERROR(SEARCH("In Danger of Falling Behind Target",H122)))</formula>
    </cfRule>
    <cfRule type="containsText" dxfId="4154" priority="379" operator="containsText" text="Fully Achieved">
      <formula>NOT(ISERROR(SEARCH("Fully Achieved",H122)))</formula>
    </cfRule>
    <cfRule type="containsText" dxfId="4153" priority="380" operator="containsText" text="On track to be achieved">
      <formula>NOT(ISERROR(SEARCH("On track to be achieved",H122)))</formula>
    </cfRule>
  </conditionalFormatting>
  <conditionalFormatting sqref="H121">
    <cfRule type="containsText" dxfId="4152" priority="344" operator="containsText" text="Deferred">
      <formula>NOT(ISERROR(SEARCH("Deferred",H121)))</formula>
    </cfRule>
    <cfRule type="containsText" dxfId="4151" priority="345" operator="containsText" text="Update Not Provided">
      <formula>NOT(ISERROR(SEARCH("Update Not Provided",H121)))</formula>
    </cfRule>
    <cfRule type="containsText" dxfId="4150" priority="346" operator="containsText" text="Not Yet Due">
      <formula>NOT(ISERROR(SEARCH("Not Yet Due",H121)))</formula>
    </cfRule>
    <cfRule type="containsText" dxfId="4149" priority="347" operator="containsText" text="Deleted">
      <formula>NOT(ISERROR(SEARCH("Deleted",H121)))</formula>
    </cfRule>
    <cfRule type="containsText" dxfId="4148" priority="348" operator="containsText" text="Completed Behind Schedule">
      <formula>NOT(ISERROR(SEARCH("Completed Behind Schedule",H121)))</formula>
    </cfRule>
    <cfRule type="containsText" dxfId="4147" priority="349" operator="containsText" text="Off Target">
      <formula>NOT(ISERROR(SEARCH("Off Target",H121)))</formula>
    </cfRule>
    <cfRule type="containsText" dxfId="4146" priority="350" operator="containsText" text="In Danger of Falling Behind Target">
      <formula>NOT(ISERROR(SEARCH("In Danger of Falling Behind Target",H121)))</formula>
    </cfRule>
    <cfRule type="containsText" dxfId="4145" priority="351" operator="containsText" text="Fully Achieved">
      <formula>NOT(ISERROR(SEARCH("Fully Achieved",H121)))</formula>
    </cfRule>
    <cfRule type="containsText" dxfId="4144" priority="352" operator="containsText" text="On track to be achieved">
      <formula>NOT(ISERROR(SEARCH("On track to be achieved",H121)))</formula>
    </cfRule>
  </conditionalFormatting>
  <conditionalFormatting sqref="H118">
    <cfRule type="containsText" dxfId="4143" priority="316" operator="containsText" text="Deferred">
      <formula>NOT(ISERROR(SEARCH("Deferred",H118)))</formula>
    </cfRule>
    <cfRule type="containsText" dxfId="4142" priority="317" operator="containsText" text="Update Not Provided">
      <formula>NOT(ISERROR(SEARCH("Update Not Provided",H118)))</formula>
    </cfRule>
    <cfRule type="containsText" dxfId="4141" priority="318" operator="containsText" text="Not Yet Due">
      <formula>NOT(ISERROR(SEARCH("Not Yet Due",H118)))</formula>
    </cfRule>
    <cfRule type="containsText" dxfId="4140" priority="319" operator="containsText" text="Deleted">
      <formula>NOT(ISERROR(SEARCH("Deleted",H118)))</formula>
    </cfRule>
    <cfRule type="containsText" dxfId="4139" priority="320" operator="containsText" text="Completed Behind Schedule">
      <formula>NOT(ISERROR(SEARCH("Completed Behind Schedule",H118)))</formula>
    </cfRule>
    <cfRule type="containsText" dxfId="4138" priority="321" operator="containsText" text="Off Target">
      <formula>NOT(ISERROR(SEARCH("Off Target",H118)))</formula>
    </cfRule>
    <cfRule type="containsText" dxfId="4137" priority="322" operator="containsText" text="In Danger of Falling Behind Target">
      <formula>NOT(ISERROR(SEARCH("In Danger of Falling Behind Target",H118)))</formula>
    </cfRule>
    <cfRule type="containsText" dxfId="4136" priority="323" operator="containsText" text="Fully Achieved">
      <formula>NOT(ISERROR(SEARCH("Fully Achieved",H118)))</formula>
    </cfRule>
    <cfRule type="containsText" dxfId="4135" priority="324" operator="containsText" text="On track to be achieved">
      <formula>NOT(ISERROR(SEARCH("On track to be achieved",H118)))</formula>
    </cfRule>
  </conditionalFormatting>
  <conditionalFormatting sqref="H119">
    <cfRule type="containsText" dxfId="4134" priority="288" operator="containsText" text="Deferred">
      <formula>NOT(ISERROR(SEARCH("Deferred",H119)))</formula>
    </cfRule>
    <cfRule type="containsText" dxfId="4133" priority="289" operator="containsText" text="Update Not Provided">
      <formula>NOT(ISERROR(SEARCH("Update Not Provided",H119)))</formula>
    </cfRule>
    <cfRule type="containsText" dxfId="4132" priority="290" operator="containsText" text="Not Yet Due">
      <formula>NOT(ISERROR(SEARCH("Not Yet Due",H119)))</formula>
    </cfRule>
    <cfRule type="containsText" dxfId="4131" priority="291" operator="containsText" text="Deleted">
      <formula>NOT(ISERROR(SEARCH("Deleted",H119)))</formula>
    </cfRule>
    <cfRule type="containsText" dxfId="4130" priority="292" operator="containsText" text="Completed Behind Schedule">
      <formula>NOT(ISERROR(SEARCH("Completed Behind Schedule",H119)))</formula>
    </cfRule>
    <cfRule type="containsText" dxfId="4129" priority="293" operator="containsText" text="Off Target">
      <formula>NOT(ISERROR(SEARCH("Off Target",H119)))</formula>
    </cfRule>
    <cfRule type="containsText" dxfId="4128" priority="294" operator="containsText" text="In Danger of Falling Behind Target">
      <formula>NOT(ISERROR(SEARCH("In Danger of Falling Behind Target",H119)))</formula>
    </cfRule>
    <cfRule type="containsText" dxfId="4127" priority="295" operator="containsText" text="Fully Achieved">
      <formula>NOT(ISERROR(SEARCH("Fully Achieved",H119)))</formula>
    </cfRule>
    <cfRule type="containsText" dxfId="4126" priority="296" operator="containsText" text="On track to be achieved">
      <formula>NOT(ISERROR(SEARCH("On track to be achieved",H119)))</formula>
    </cfRule>
  </conditionalFormatting>
  <conditionalFormatting sqref="R113 H113">
    <cfRule type="containsText" dxfId="4125" priority="260" operator="containsText" text="Deferred">
      <formula>NOT(ISERROR(SEARCH("Deferred",H113)))</formula>
    </cfRule>
    <cfRule type="containsText" dxfId="4124" priority="261" operator="containsText" text="Update Not Provided">
      <formula>NOT(ISERROR(SEARCH("Update Not Provided",H113)))</formula>
    </cfRule>
    <cfRule type="containsText" dxfId="4123" priority="262" operator="containsText" text="Not Yet Due">
      <formula>NOT(ISERROR(SEARCH("Not Yet Due",H113)))</formula>
    </cfRule>
    <cfRule type="containsText" dxfId="4122" priority="263" operator="containsText" text="Deleted">
      <formula>NOT(ISERROR(SEARCH("Deleted",H113)))</formula>
    </cfRule>
    <cfRule type="containsText" dxfId="4121" priority="264" operator="containsText" text="Completed Behind Schedule">
      <formula>NOT(ISERROR(SEARCH("Completed Behind Schedule",H113)))</formula>
    </cfRule>
    <cfRule type="containsText" dxfId="4120" priority="265" operator="containsText" text="Off Target">
      <formula>NOT(ISERROR(SEARCH("Off Target",H113)))</formula>
    </cfRule>
    <cfRule type="containsText" dxfId="4119" priority="266" operator="containsText" text="In Danger of Falling Behind Target">
      <formula>NOT(ISERROR(SEARCH("In Danger of Falling Behind Target",H113)))</formula>
    </cfRule>
    <cfRule type="containsText" dxfId="4118" priority="267" operator="containsText" text="Fully Achieved">
      <formula>NOT(ISERROR(SEARCH("Fully Achieved",H113)))</formula>
    </cfRule>
    <cfRule type="containsText" dxfId="4117" priority="268" operator="containsText" text="On track to be achieved">
      <formula>NOT(ISERROR(SEARCH("On track to be achieved",H113)))</formula>
    </cfRule>
  </conditionalFormatting>
  <conditionalFormatting sqref="R66 H66">
    <cfRule type="containsText" dxfId="4116" priority="232" operator="containsText" text="Deferred">
      <formula>NOT(ISERROR(SEARCH("Deferred",H66)))</formula>
    </cfRule>
    <cfRule type="containsText" dxfId="4115" priority="233" operator="containsText" text="Update Not Provided">
      <formula>NOT(ISERROR(SEARCH("Update Not Provided",H66)))</formula>
    </cfRule>
    <cfRule type="containsText" dxfId="4114" priority="234" operator="containsText" text="Not Yet Due">
      <formula>NOT(ISERROR(SEARCH("Not Yet Due",H66)))</formula>
    </cfRule>
    <cfRule type="containsText" dxfId="4113" priority="235" operator="containsText" text="Deleted">
      <formula>NOT(ISERROR(SEARCH("Deleted",H66)))</formula>
    </cfRule>
    <cfRule type="containsText" dxfId="4112" priority="236" operator="containsText" text="Completed Behind Schedule">
      <formula>NOT(ISERROR(SEARCH("Completed Behind Schedule",H66)))</formula>
    </cfRule>
    <cfRule type="containsText" dxfId="4111" priority="237" operator="containsText" text="Off Target">
      <formula>NOT(ISERROR(SEARCH("Off Target",H66)))</formula>
    </cfRule>
    <cfRule type="containsText" dxfId="4110" priority="238" operator="containsText" text="In Danger of Falling Behind Target">
      <formula>NOT(ISERROR(SEARCH("In Danger of Falling Behind Target",H66)))</formula>
    </cfRule>
    <cfRule type="containsText" dxfId="4109" priority="239" operator="containsText" text="Fully Achieved">
      <formula>NOT(ISERROR(SEARCH("Fully Achieved",H66)))</formula>
    </cfRule>
    <cfRule type="containsText" dxfId="4108" priority="240" operator="containsText" text="On track to be achieved">
      <formula>NOT(ISERROR(SEARCH("On track to be achieved",H66)))</formula>
    </cfRule>
  </conditionalFormatting>
  <conditionalFormatting sqref="H67">
    <cfRule type="containsText" dxfId="4107" priority="204" operator="containsText" text="Deferred">
      <formula>NOT(ISERROR(SEARCH("Deferred",H67)))</formula>
    </cfRule>
    <cfRule type="containsText" dxfId="4106" priority="205" operator="containsText" text="Update Not Provided">
      <formula>NOT(ISERROR(SEARCH("Update Not Provided",H67)))</formula>
    </cfRule>
    <cfRule type="containsText" dxfId="4105" priority="206" operator="containsText" text="Not Yet Due">
      <formula>NOT(ISERROR(SEARCH("Not Yet Due",H67)))</formula>
    </cfRule>
    <cfRule type="containsText" dxfId="4104" priority="207" operator="containsText" text="Deleted">
      <formula>NOT(ISERROR(SEARCH("Deleted",H67)))</formula>
    </cfRule>
    <cfRule type="containsText" dxfId="4103" priority="208" operator="containsText" text="Completed Behind Schedule">
      <formula>NOT(ISERROR(SEARCH("Completed Behind Schedule",H67)))</formula>
    </cfRule>
    <cfRule type="containsText" dxfId="4102" priority="209" operator="containsText" text="Off Target">
      <formula>NOT(ISERROR(SEARCH("Off Target",H67)))</formula>
    </cfRule>
    <cfRule type="containsText" dxfId="4101" priority="210" operator="containsText" text="In Danger of Falling Behind Target">
      <formula>NOT(ISERROR(SEARCH("In Danger of Falling Behind Target",H67)))</formula>
    </cfRule>
    <cfRule type="containsText" dxfId="4100" priority="211" operator="containsText" text="Fully Achieved">
      <formula>NOT(ISERROR(SEARCH("Fully Achieved",H67)))</formula>
    </cfRule>
    <cfRule type="containsText" dxfId="4099" priority="212" operator="containsText" text="On track to be achieved">
      <formula>NOT(ISERROR(SEARCH("On track to be achieved",H67)))</formula>
    </cfRule>
  </conditionalFormatting>
  <conditionalFormatting sqref="H68">
    <cfRule type="containsText" dxfId="4098" priority="176" operator="containsText" text="Deferred">
      <formula>NOT(ISERROR(SEARCH("Deferred",H68)))</formula>
    </cfRule>
    <cfRule type="containsText" dxfId="4097" priority="177" operator="containsText" text="Update Not Provided">
      <formula>NOT(ISERROR(SEARCH("Update Not Provided",H68)))</formula>
    </cfRule>
    <cfRule type="containsText" dxfId="4096" priority="178" operator="containsText" text="Not Yet Due">
      <formula>NOT(ISERROR(SEARCH("Not Yet Due",H68)))</formula>
    </cfRule>
    <cfRule type="containsText" dxfId="4095" priority="179" operator="containsText" text="Deleted">
      <formula>NOT(ISERROR(SEARCH("Deleted",H68)))</formula>
    </cfRule>
    <cfRule type="containsText" dxfId="4094" priority="180" operator="containsText" text="Completed Behind Schedule">
      <formula>NOT(ISERROR(SEARCH("Completed Behind Schedule",H68)))</formula>
    </cfRule>
    <cfRule type="containsText" dxfId="4093" priority="181" operator="containsText" text="Off Target">
      <formula>NOT(ISERROR(SEARCH("Off Target",H68)))</formula>
    </cfRule>
    <cfRule type="containsText" dxfId="4092" priority="182" operator="containsText" text="In Danger of Falling Behind Target">
      <formula>NOT(ISERROR(SEARCH("In Danger of Falling Behind Target",H68)))</formula>
    </cfRule>
    <cfRule type="containsText" dxfId="4091" priority="183" operator="containsText" text="Fully Achieved">
      <formula>NOT(ISERROR(SEARCH("Fully Achieved",H68)))</formula>
    </cfRule>
    <cfRule type="containsText" dxfId="4090" priority="184" operator="containsText" text="On track to be achieved">
      <formula>NOT(ISERROR(SEARCH("On track to be achieved",H68)))</formula>
    </cfRule>
  </conditionalFormatting>
  <conditionalFormatting sqref="H14">
    <cfRule type="containsText" dxfId="4089" priority="148" operator="containsText" text="Deferred">
      <formula>NOT(ISERROR(SEARCH("Deferred",H14)))</formula>
    </cfRule>
    <cfRule type="containsText" dxfId="4088" priority="149" operator="containsText" text="Update Not Provided">
      <formula>NOT(ISERROR(SEARCH("Update Not Provided",H14)))</formula>
    </cfRule>
    <cfRule type="containsText" dxfId="4087" priority="150" operator="containsText" text="Not Yet Due">
      <formula>NOT(ISERROR(SEARCH("Not Yet Due",H14)))</formula>
    </cfRule>
    <cfRule type="containsText" dxfId="4086" priority="151" operator="containsText" text="Deleted">
      <formula>NOT(ISERROR(SEARCH("Deleted",H14)))</formula>
    </cfRule>
    <cfRule type="containsText" dxfId="4085" priority="152" operator="containsText" text="Completed Behind Schedule">
      <formula>NOT(ISERROR(SEARCH("Completed Behind Schedule",H14)))</formula>
    </cfRule>
    <cfRule type="containsText" dxfId="4084" priority="153" operator="containsText" text="Off Target">
      <formula>NOT(ISERROR(SEARCH("Off Target",H14)))</formula>
    </cfRule>
    <cfRule type="containsText" dxfId="4083" priority="154" operator="containsText" text="In Danger of Falling Behind Target">
      <formula>NOT(ISERROR(SEARCH("In Danger of Falling Behind Target",H14)))</formula>
    </cfRule>
    <cfRule type="containsText" dxfId="4082" priority="155" operator="containsText" text="Fully Achieved">
      <formula>NOT(ISERROR(SEARCH("Fully Achieved",H14)))</formula>
    </cfRule>
    <cfRule type="containsText" dxfId="4081" priority="156" operator="containsText" text="On track to be achieved">
      <formula>NOT(ISERROR(SEARCH("On track to be achieved",H14)))</formula>
    </cfRule>
  </conditionalFormatting>
  <conditionalFormatting sqref="H88 R88">
    <cfRule type="containsText" dxfId="4080" priority="120" operator="containsText" text="Deferred">
      <formula>NOT(ISERROR(SEARCH("Deferred",H88)))</formula>
    </cfRule>
    <cfRule type="containsText" dxfId="4079" priority="121" operator="containsText" text="Update Not Provided">
      <formula>NOT(ISERROR(SEARCH("Update Not Provided",H88)))</formula>
    </cfRule>
    <cfRule type="containsText" dxfId="4078" priority="122" operator="containsText" text="Not Yet Due">
      <formula>NOT(ISERROR(SEARCH("Not Yet Due",H88)))</formula>
    </cfRule>
    <cfRule type="containsText" dxfId="4077" priority="123" operator="containsText" text="Deleted">
      <formula>NOT(ISERROR(SEARCH("Deleted",H88)))</formula>
    </cfRule>
    <cfRule type="containsText" dxfId="4076" priority="124" operator="containsText" text="Completed Behind Schedule">
      <formula>NOT(ISERROR(SEARCH("Completed Behind Schedule",H88)))</formula>
    </cfRule>
    <cfRule type="containsText" dxfId="4075" priority="125" operator="containsText" text="Off Target">
      <formula>NOT(ISERROR(SEARCH("Off Target",H88)))</formula>
    </cfRule>
    <cfRule type="containsText" dxfId="4074" priority="126" operator="containsText" text="In Danger of Falling Behind Target">
      <formula>NOT(ISERROR(SEARCH("In Danger of Falling Behind Target",H88)))</formula>
    </cfRule>
    <cfRule type="containsText" dxfId="4073" priority="127" operator="containsText" text="Fully Achieved">
      <formula>NOT(ISERROR(SEARCH("Fully Achieved",H88)))</formula>
    </cfRule>
    <cfRule type="containsText" dxfId="4072" priority="128" operator="containsText" text="On track to be achieved">
      <formula>NOT(ISERROR(SEARCH("On track to be achieved",H88)))</formula>
    </cfRule>
  </conditionalFormatting>
  <conditionalFormatting sqref="M129:M132">
    <cfRule type="containsText" dxfId="4071" priority="92" operator="containsText" text="Deferred">
      <formula>NOT(ISERROR(SEARCH("Deferred",M129)))</formula>
    </cfRule>
    <cfRule type="containsText" dxfId="4070" priority="93" operator="containsText" text="Update Not Provided">
      <formula>NOT(ISERROR(SEARCH("Update Not Provided",M129)))</formula>
    </cfRule>
    <cfRule type="containsText" dxfId="4069" priority="94" operator="containsText" text="Not Yet Due">
      <formula>NOT(ISERROR(SEARCH("Not Yet Due",M129)))</formula>
    </cfRule>
    <cfRule type="containsText" dxfId="4068" priority="95" operator="containsText" text="Deleted">
      <formula>NOT(ISERROR(SEARCH("Deleted",M129)))</formula>
    </cfRule>
    <cfRule type="containsText" dxfId="4067" priority="96" operator="containsText" text="Completed Behind Schedule">
      <formula>NOT(ISERROR(SEARCH("Completed Behind Schedule",M129)))</formula>
    </cfRule>
    <cfRule type="containsText" dxfId="4066" priority="97" operator="containsText" text="Off Target">
      <formula>NOT(ISERROR(SEARCH("Off Target",M129)))</formula>
    </cfRule>
    <cfRule type="containsText" dxfId="4065" priority="98" operator="containsText" text="In Danger of Falling Behind Target">
      <formula>NOT(ISERROR(SEARCH("In Danger of Falling Behind Target",M129)))</formula>
    </cfRule>
    <cfRule type="containsText" dxfId="4064" priority="99" operator="containsText" text="Fully Achieved">
      <formula>NOT(ISERROR(SEARCH("Fully Achieved",M129)))</formula>
    </cfRule>
    <cfRule type="containsText" dxfId="4063" priority="100" operator="containsText" text="On track to be achieved">
      <formula>NOT(ISERROR(SEARCH("On track to be achieved",M129)))</formula>
    </cfRule>
  </conditionalFormatting>
  <conditionalFormatting sqref="R14">
    <cfRule type="containsText" dxfId="4062" priority="83" operator="containsText" text="Deferred">
      <formula>NOT(ISERROR(SEARCH("Deferred",R14)))</formula>
    </cfRule>
    <cfRule type="containsText" dxfId="4061" priority="84" operator="containsText" text="Update Not Provided">
      <formula>NOT(ISERROR(SEARCH("Update Not Provided",R14)))</formula>
    </cfRule>
    <cfRule type="containsText" dxfId="4060" priority="85" operator="containsText" text="Not Yet Due">
      <formula>NOT(ISERROR(SEARCH("Not Yet Due",R14)))</formula>
    </cfRule>
    <cfRule type="containsText" dxfId="4059" priority="86" operator="containsText" text="Deleted">
      <formula>NOT(ISERROR(SEARCH("Deleted",R14)))</formula>
    </cfRule>
    <cfRule type="containsText" dxfId="4058" priority="87" operator="containsText" text="Completed Behind Schedule">
      <formula>NOT(ISERROR(SEARCH("Completed Behind Schedule",R14)))</formula>
    </cfRule>
    <cfRule type="containsText" dxfId="4057" priority="88" operator="containsText" text="Off Target">
      <formula>NOT(ISERROR(SEARCH("Off Target",R14)))</formula>
    </cfRule>
    <cfRule type="containsText" dxfId="4056" priority="89" operator="containsText" text="In Danger of Falling Behind Target">
      <formula>NOT(ISERROR(SEARCH("In Danger of Falling Behind Target",R14)))</formula>
    </cfRule>
    <cfRule type="containsText" dxfId="4055" priority="90" operator="containsText" text="Fully Achieved">
      <formula>NOT(ISERROR(SEARCH("Fully Achieved",R14)))</formula>
    </cfRule>
    <cfRule type="containsText" dxfId="4054" priority="91" operator="containsText" text="On track to be achieved">
      <formula>NOT(ISERROR(SEARCH("On track to be achieved",R14)))</formula>
    </cfRule>
  </conditionalFormatting>
  <conditionalFormatting sqref="R67">
    <cfRule type="containsText" dxfId="4053" priority="74" operator="containsText" text="Deferred">
      <formula>NOT(ISERROR(SEARCH("Deferred",R67)))</formula>
    </cfRule>
    <cfRule type="containsText" dxfId="4052" priority="75" operator="containsText" text="Update Not Provided">
      <formula>NOT(ISERROR(SEARCH("Update Not Provided",R67)))</formula>
    </cfRule>
    <cfRule type="containsText" dxfId="4051" priority="76" operator="containsText" text="Not Yet Due">
      <formula>NOT(ISERROR(SEARCH("Not Yet Due",R67)))</formula>
    </cfRule>
    <cfRule type="containsText" dxfId="4050" priority="77" operator="containsText" text="Deleted">
      <formula>NOT(ISERROR(SEARCH("Deleted",R67)))</formula>
    </cfRule>
    <cfRule type="containsText" dxfId="4049" priority="78" operator="containsText" text="Completed Behind Schedule">
      <formula>NOT(ISERROR(SEARCH("Completed Behind Schedule",R67)))</formula>
    </cfRule>
    <cfRule type="containsText" dxfId="4048" priority="79" operator="containsText" text="Off Target">
      <formula>NOT(ISERROR(SEARCH("Off Target",R67)))</formula>
    </cfRule>
    <cfRule type="containsText" dxfId="4047" priority="80" operator="containsText" text="In Danger of Falling Behind Target">
      <formula>NOT(ISERROR(SEARCH("In Danger of Falling Behind Target",R67)))</formula>
    </cfRule>
    <cfRule type="containsText" dxfId="4046" priority="81" operator="containsText" text="Fully Achieved">
      <formula>NOT(ISERROR(SEARCH("Fully Achieved",R67)))</formula>
    </cfRule>
    <cfRule type="containsText" dxfId="4045" priority="82" operator="containsText" text="On track to be achieved">
      <formula>NOT(ISERROR(SEARCH("On track to be achieved",R67)))</formula>
    </cfRule>
  </conditionalFormatting>
  <conditionalFormatting sqref="R68">
    <cfRule type="containsText" dxfId="4044" priority="65" operator="containsText" text="Deferred">
      <formula>NOT(ISERROR(SEARCH("Deferred",R68)))</formula>
    </cfRule>
    <cfRule type="containsText" dxfId="4043" priority="66" operator="containsText" text="Update Not Provided">
      <formula>NOT(ISERROR(SEARCH("Update Not Provided",R68)))</formula>
    </cfRule>
    <cfRule type="containsText" dxfId="4042" priority="67" operator="containsText" text="Not Yet Due">
      <formula>NOT(ISERROR(SEARCH("Not Yet Due",R68)))</formula>
    </cfRule>
    <cfRule type="containsText" dxfId="4041" priority="68" operator="containsText" text="Deleted">
      <formula>NOT(ISERROR(SEARCH("Deleted",R68)))</formula>
    </cfRule>
    <cfRule type="containsText" dxfId="4040" priority="69" operator="containsText" text="Completed Behind Schedule">
      <formula>NOT(ISERROR(SEARCH("Completed Behind Schedule",R68)))</formula>
    </cfRule>
    <cfRule type="containsText" dxfId="4039" priority="70" operator="containsText" text="Off Target">
      <formula>NOT(ISERROR(SEARCH("Off Target",R68)))</formula>
    </cfRule>
    <cfRule type="containsText" dxfId="4038" priority="71" operator="containsText" text="In Danger of Falling Behind Target">
      <formula>NOT(ISERROR(SEARCH("In Danger of Falling Behind Target",R68)))</formula>
    </cfRule>
    <cfRule type="containsText" dxfId="4037" priority="72" operator="containsText" text="Fully Achieved">
      <formula>NOT(ISERROR(SEARCH("Fully Achieved",R68)))</formula>
    </cfRule>
    <cfRule type="containsText" dxfId="4036" priority="73" operator="containsText" text="On track to be achieved">
      <formula>NOT(ISERROR(SEARCH("On track to be achieved",R68)))</formula>
    </cfRule>
  </conditionalFormatting>
  <conditionalFormatting sqref="R118">
    <cfRule type="containsText" dxfId="4035" priority="56" operator="containsText" text="Deferred">
      <formula>NOT(ISERROR(SEARCH("Deferred",R118)))</formula>
    </cfRule>
    <cfRule type="containsText" dxfId="4034" priority="57" operator="containsText" text="Update Not Provided">
      <formula>NOT(ISERROR(SEARCH("Update Not Provided",R118)))</formula>
    </cfRule>
    <cfRule type="containsText" dxfId="4033" priority="58" operator="containsText" text="Not Yet Due">
      <formula>NOT(ISERROR(SEARCH("Not Yet Due",R118)))</formula>
    </cfRule>
    <cfRule type="containsText" dxfId="4032" priority="59" operator="containsText" text="Deleted">
      <formula>NOT(ISERROR(SEARCH("Deleted",R118)))</formula>
    </cfRule>
    <cfRule type="containsText" dxfId="4031" priority="60" operator="containsText" text="Completed Behind Schedule">
      <formula>NOT(ISERROR(SEARCH("Completed Behind Schedule",R118)))</formula>
    </cfRule>
    <cfRule type="containsText" dxfId="4030" priority="61" operator="containsText" text="Off Target">
      <formula>NOT(ISERROR(SEARCH("Off Target",R118)))</formula>
    </cfRule>
    <cfRule type="containsText" dxfId="4029" priority="62" operator="containsText" text="In Danger of Falling Behind Target">
      <formula>NOT(ISERROR(SEARCH("In Danger of Falling Behind Target",R118)))</formula>
    </cfRule>
    <cfRule type="containsText" dxfId="4028" priority="63" operator="containsText" text="Fully Achieved">
      <formula>NOT(ISERROR(SEARCH("Fully Achieved",R118)))</formula>
    </cfRule>
    <cfRule type="containsText" dxfId="4027" priority="64" operator="containsText" text="On track to be achieved">
      <formula>NOT(ISERROR(SEARCH("On track to be achieved",R118)))</formula>
    </cfRule>
  </conditionalFormatting>
  <conditionalFormatting sqref="R119">
    <cfRule type="containsText" dxfId="4026" priority="47" operator="containsText" text="Deferred">
      <formula>NOT(ISERROR(SEARCH("Deferred",R119)))</formula>
    </cfRule>
    <cfRule type="containsText" dxfId="4025" priority="48" operator="containsText" text="Update Not Provided">
      <formula>NOT(ISERROR(SEARCH("Update Not Provided",R119)))</formula>
    </cfRule>
    <cfRule type="containsText" dxfId="4024" priority="49" operator="containsText" text="Not Yet Due">
      <formula>NOT(ISERROR(SEARCH("Not Yet Due",R119)))</formula>
    </cfRule>
    <cfRule type="containsText" dxfId="4023" priority="50" operator="containsText" text="Deleted">
      <formula>NOT(ISERROR(SEARCH("Deleted",R119)))</formula>
    </cfRule>
    <cfRule type="containsText" dxfId="4022" priority="51" operator="containsText" text="Completed Behind Schedule">
      <formula>NOT(ISERROR(SEARCH("Completed Behind Schedule",R119)))</formula>
    </cfRule>
    <cfRule type="containsText" dxfId="4021" priority="52" operator="containsText" text="Off Target">
      <formula>NOT(ISERROR(SEARCH("Off Target",R119)))</formula>
    </cfRule>
    <cfRule type="containsText" dxfId="4020" priority="53" operator="containsText" text="In Danger of Falling Behind Target">
      <formula>NOT(ISERROR(SEARCH("In Danger of Falling Behind Target",R119)))</formula>
    </cfRule>
    <cfRule type="containsText" dxfId="4019" priority="54" operator="containsText" text="Fully Achieved">
      <formula>NOT(ISERROR(SEARCH("Fully Achieved",R119)))</formula>
    </cfRule>
    <cfRule type="containsText" dxfId="4018" priority="55" operator="containsText" text="On track to be achieved">
      <formula>NOT(ISERROR(SEARCH("On track to be achieved",R119)))</formula>
    </cfRule>
  </conditionalFormatting>
  <conditionalFormatting sqref="R121">
    <cfRule type="containsText" dxfId="4017" priority="38" operator="containsText" text="Deferred">
      <formula>NOT(ISERROR(SEARCH("Deferred",R121)))</formula>
    </cfRule>
    <cfRule type="containsText" dxfId="4016" priority="39" operator="containsText" text="Update Not Provided">
      <formula>NOT(ISERROR(SEARCH("Update Not Provided",R121)))</formula>
    </cfRule>
    <cfRule type="containsText" dxfId="4015" priority="40" operator="containsText" text="Not Yet Due">
      <formula>NOT(ISERROR(SEARCH("Not Yet Due",R121)))</formula>
    </cfRule>
    <cfRule type="containsText" dxfId="4014" priority="41" operator="containsText" text="Deleted">
      <formula>NOT(ISERROR(SEARCH("Deleted",R121)))</formula>
    </cfRule>
    <cfRule type="containsText" dxfId="4013" priority="42" operator="containsText" text="Completed Behind Schedule">
      <formula>NOT(ISERROR(SEARCH("Completed Behind Schedule",R121)))</formula>
    </cfRule>
    <cfRule type="containsText" dxfId="4012" priority="43" operator="containsText" text="Off Target">
      <formula>NOT(ISERROR(SEARCH("Off Target",R121)))</formula>
    </cfRule>
    <cfRule type="containsText" dxfId="4011" priority="44" operator="containsText" text="In Danger of Falling Behind Target">
      <formula>NOT(ISERROR(SEARCH("In Danger of Falling Behind Target",R121)))</formula>
    </cfRule>
    <cfRule type="containsText" dxfId="4010" priority="45" operator="containsText" text="Fully Achieved">
      <formula>NOT(ISERROR(SEARCH("Fully Achieved",R121)))</formula>
    </cfRule>
    <cfRule type="containsText" dxfId="4009" priority="46" operator="containsText" text="On track to be achieved">
      <formula>NOT(ISERROR(SEARCH("On track to be achieved",R121)))</formula>
    </cfRule>
  </conditionalFormatting>
  <conditionalFormatting sqref="R122">
    <cfRule type="containsText" dxfId="4008" priority="29" operator="containsText" text="Deferred">
      <formula>NOT(ISERROR(SEARCH("Deferred",R122)))</formula>
    </cfRule>
    <cfRule type="containsText" dxfId="4007" priority="30" operator="containsText" text="Update Not Provided">
      <formula>NOT(ISERROR(SEARCH("Update Not Provided",R122)))</formula>
    </cfRule>
    <cfRule type="containsText" dxfId="4006" priority="31" operator="containsText" text="Not Yet Due">
      <formula>NOT(ISERROR(SEARCH("Not Yet Due",R122)))</formula>
    </cfRule>
    <cfRule type="containsText" dxfId="4005" priority="32" operator="containsText" text="Deleted">
      <formula>NOT(ISERROR(SEARCH("Deleted",R122)))</formula>
    </cfRule>
    <cfRule type="containsText" dxfId="4004" priority="33" operator="containsText" text="Completed Behind Schedule">
      <formula>NOT(ISERROR(SEARCH("Completed Behind Schedule",R122)))</formula>
    </cfRule>
    <cfRule type="containsText" dxfId="4003" priority="34" operator="containsText" text="Off Target">
      <formula>NOT(ISERROR(SEARCH("Off Target",R122)))</formula>
    </cfRule>
    <cfRule type="containsText" dxfId="4002" priority="35" operator="containsText" text="In Danger of Falling Behind Target">
      <formula>NOT(ISERROR(SEARCH("In Danger of Falling Behind Target",R122)))</formula>
    </cfRule>
    <cfRule type="containsText" dxfId="4001" priority="36" operator="containsText" text="Fully Achieved">
      <formula>NOT(ISERROR(SEARCH("Fully Achieved",R122)))</formula>
    </cfRule>
    <cfRule type="containsText" dxfId="4000" priority="37" operator="containsText" text="On track to be achieved">
      <formula>NOT(ISERROR(SEARCH("On track to be achieved",R122)))</formula>
    </cfRule>
  </conditionalFormatting>
  <conditionalFormatting sqref="V103">
    <cfRule type="containsText" dxfId="3999" priority="20" operator="containsText" text="Deferred">
      <formula>NOT(ISERROR(SEARCH("Deferred",V103)))</formula>
    </cfRule>
    <cfRule type="containsText" dxfId="3998" priority="21" operator="containsText" text="Update Not Provided">
      <formula>NOT(ISERROR(SEARCH("Update Not Provided",V103)))</formula>
    </cfRule>
    <cfRule type="containsText" dxfId="3997" priority="22" operator="containsText" text="Not Yet Due">
      <formula>NOT(ISERROR(SEARCH("Not Yet Due",V103)))</formula>
    </cfRule>
    <cfRule type="containsText" dxfId="3996" priority="23" operator="containsText" text="Deleted">
      <formula>NOT(ISERROR(SEARCH("Deleted",V103)))</formula>
    </cfRule>
    <cfRule type="containsText" dxfId="3995" priority="24" operator="containsText" text="Completed Behind Schedule">
      <formula>NOT(ISERROR(SEARCH("Completed Behind Schedule",V103)))</formula>
    </cfRule>
    <cfRule type="containsText" dxfId="3994" priority="25" operator="containsText" text="Off Target">
      <formula>NOT(ISERROR(SEARCH("Off Target",V103)))</formula>
    </cfRule>
    <cfRule type="containsText" dxfId="3993" priority="26" operator="containsText" text="In Danger of Falling Behind Target">
      <formula>NOT(ISERROR(SEARCH("In Danger of Falling Behind Target",V103)))</formula>
    </cfRule>
    <cfRule type="containsText" dxfId="3992" priority="27" operator="containsText" text="Fully Achieved">
      <formula>NOT(ISERROR(SEARCH("Fully Achieved",V103)))</formula>
    </cfRule>
    <cfRule type="containsText" dxfId="3991" priority="28" operator="containsText" text="On track to be achieved">
      <formula>NOT(ISERROR(SEARCH("On track to be achieved",V103)))</formula>
    </cfRule>
  </conditionalFormatting>
  <conditionalFormatting sqref="V28:V47">
    <cfRule type="containsText" dxfId="3990" priority="1" operator="containsText" text="Deleted">
      <formula>NOT(ISERROR(SEARCH("Deleted",V28)))</formula>
    </cfRule>
    <cfRule type="containsText" dxfId="3989" priority="2" operator="containsText" text="Deferred">
      <formula>NOT(ISERROR(SEARCH("Deferred",V28)))</formula>
    </cfRule>
    <cfRule type="containsText" dxfId="3988" priority="3" operator="containsText" text="Completion date within reasonable tolerance">
      <formula>NOT(ISERROR(SEARCH("Completion date within reasonable tolerance",V28)))</formula>
    </cfRule>
    <cfRule type="containsText" dxfId="3987" priority="4" operator="containsText" text="completed significantly after target deadline">
      <formula>NOT(ISERROR(SEARCH("completed significantly after target deadline",V28)))</formula>
    </cfRule>
    <cfRule type="containsText" dxfId="3986" priority="5" operator="containsText" text="Off target">
      <formula>NOT(ISERROR(SEARCH("Off target",V28)))</formula>
    </cfRule>
    <cfRule type="containsText" dxfId="3985" priority="6" operator="containsText" text="Target partially met">
      <formula>NOT(ISERROR(SEARCH("Target partially met",V28)))</formula>
    </cfRule>
    <cfRule type="containsText" dxfId="3984" priority="7" operator="containsText" text="Numerical outturn within 10% tolerance">
      <formula>NOT(ISERROR(SEARCH("Numerical outturn within 10% tolerance",V28)))</formula>
    </cfRule>
    <cfRule type="containsText" dxfId="3983" priority="8" operator="containsText" text="Numerical outturn within 5% Tolerance">
      <formula>NOT(ISERROR(SEARCH("Numerical outturn within 5% Tolerance",V28)))</formula>
    </cfRule>
    <cfRule type="containsText" dxfId="3982" priority="9" operator="containsText" text="Fully Achieved">
      <formula>NOT(ISERROR(SEARCH("Fully Achieved",V28)))</formula>
    </cfRule>
    <cfRule type="containsText" dxfId="3981" priority="10" operator="containsText" text="Update Not Provided">
      <formula>NOT(ISERROR(SEARCH("Update Not Provided",V28)))</formula>
    </cfRule>
    <cfRule type="containsText" dxfId="3980" priority="11" operator="containsText" text="Deferred">
      <formula>NOT(ISERROR(SEARCH("Deferred",V28)))</formula>
    </cfRule>
    <cfRule type="containsText" dxfId="3979" priority="12" operator="containsText" text="Update Not Provided">
      <formula>NOT(ISERROR(SEARCH("Update Not Provided",V28)))</formula>
    </cfRule>
    <cfRule type="containsText" dxfId="3978" priority="13" operator="containsText" text="Not Yet Due">
      <formula>NOT(ISERROR(SEARCH("Not Yet Due",V28)))</formula>
    </cfRule>
    <cfRule type="containsText" dxfId="3977" priority="14" operator="containsText" text="Deleted">
      <formula>NOT(ISERROR(SEARCH("Deleted",V28)))</formula>
    </cfRule>
    <cfRule type="containsText" dxfId="3976" priority="15" operator="containsText" text="Completed Behind Schedule">
      <formula>NOT(ISERROR(SEARCH("Completed Behind Schedule",V28)))</formula>
    </cfRule>
    <cfRule type="containsText" dxfId="3975" priority="16" operator="containsText" text="Off Target">
      <formula>NOT(ISERROR(SEARCH("Off Target",V28)))</formula>
    </cfRule>
    <cfRule type="containsText" dxfId="3974" priority="17" operator="containsText" text="In Danger of Falling Behind Target">
      <formula>NOT(ISERROR(SEARCH("In Danger of Falling Behind Target",V28)))</formula>
    </cfRule>
    <cfRule type="containsText" dxfId="3973" priority="18" operator="containsText" text="Fully Achieved">
      <formula>NOT(ISERROR(SEARCH("Fully Achieved",V28)))</formula>
    </cfRule>
    <cfRule type="containsText" dxfId="3972" priority="19" operator="containsText" text="On track to be achieved">
      <formula>NOT(ISERROR(SEARCH("On track to be achieved",V28)))</formula>
    </cfRule>
  </conditionalFormatting>
  <dataValidations xWindow="1461" yWindow="799" count="2">
    <dataValidation type="list" allowBlank="1" showInputMessage="1" showErrorMessage="1" promptTitle="Is target on track?" prompt="Please choose an option from the drop down list that best describes the current situation for this target." sqref="V3:V134">
      <formula1>$A$153:$A$162</formula1>
    </dataValidation>
    <dataValidation type="list" allowBlank="1" showInputMessage="1" showErrorMessage="1" promptTitle="Is target on track?" prompt="Please choose an option from the drop down list that best describes the current situation for this target." sqref="M3:M134 H3:H134 R3:R134">
      <formula1>$A$171:$A$179</formula1>
    </dataValidation>
  </dataValidations>
  <hyperlinks>
    <hyperlink ref="I96" r:id="rId1"/>
    <hyperlink ref="S100" r:id="rId2"/>
  </hyperlinks>
  <pageMargins left="0.25" right="0.25" top="0.75" bottom="0.75" header="0.3" footer="0.3"/>
  <pageSetup paperSize="8" scale="54" fitToHeight="0" orientation="landscape" r:id="rId3"/>
  <drawing r:id="rId4"/>
  <legacy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zoomScale="50" zoomScaleNormal="50" workbookViewId="0"/>
  </sheetViews>
  <sheetFormatPr defaultColWidth="9.28515625" defaultRowHeight="15"/>
  <cols>
    <col min="1" max="1" width="12.7109375" style="100" customWidth="1"/>
    <col min="2" max="2" width="55.42578125" style="100" customWidth="1"/>
    <col min="3" max="3" width="46.5703125" style="123" customWidth="1"/>
    <col min="4" max="10" width="26.28515625" style="100" customWidth="1"/>
    <col min="11" max="14" width="9.28515625" style="98" customWidth="1"/>
    <col min="15" max="15" width="16.5703125" style="98" hidden="1" customWidth="1"/>
    <col min="16" max="19" width="9.28515625" style="98" hidden="1" customWidth="1"/>
    <col min="20" max="20" width="24.7109375" style="98" hidden="1" customWidth="1"/>
    <col min="21" max="25" width="9.28515625" style="98" hidden="1" customWidth="1"/>
    <col min="26" max="26" width="0" style="98" hidden="1" customWidth="1"/>
    <col min="27" max="46" width="9.28515625" style="98"/>
    <col min="47" max="16384" width="9.28515625" style="100"/>
  </cols>
  <sheetData>
    <row r="1" spans="1:46" s="90" customFormat="1" ht="24" customHeight="1">
      <c r="A1" s="89" t="s">
        <v>50</v>
      </c>
      <c r="C1" s="91"/>
    </row>
    <row r="2" spans="1:46" s="93" customFormat="1" ht="60.75">
      <c r="A2" s="132" t="s">
        <v>64</v>
      </c>
      <c r="B2" s="132" t="s">
        <v>0</v>
      </c>
      <c r="C2" s="132" t="s">
        <v>1</v>
      </c>
      <c r="D2" s="133" t="s">
        <v>65</v>
      </c>
      <c r="E2" s="133" t="s">
        <v>66</v>
      </c>
      <c r="F2" s="133" t="s">
        <v>67</v>
      </c>
      <c r="G2" s="133" t="s">
        <v>68</v>
      </c>
      <c r="H2" s="133" t="s">
        <v>69</v>
      </c>
      <c r="I2" s="133" t="s">
        <v>70</v>
      </c>
      <c r="J2" s="133" t="s">
        <v>71</v>
      </c>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row>
    <row r="3" spans="1:46" ht="99.75" customHeight="1" thickBot="1">
      <c r="A3" s="113" t="e">
        <f>'1. All Data'!#REF!</f>
        <v>#REF!</v>
      </c>
      <c r="B3" s="127" t="e">
        <f>'1. All Data'!#REF!</f>
        <v>#REF!</v>
      </c>
      <c r="C3" s="129" t="e">
        <f>'1. All Data'!#REF!</f>
        <v>#REF!</v>
      </c>
      <c r="D3" s="124" t="e">
        <f>'1. All Data'!#REF!</f>
        <v>#REF!</v>
      </c>
      <c r="E3" s="130"/>
      <c r="F3" s="125" t="e">
        <f>'1. All Data'!#REF!</f>
        <v>#REF!</v>
      </c>
      <c r="G3" s="131"/>
      <c r="H3" s="124" t="e">
        <f>'1. All Data'!#REF!</f>
        <v>#REF!</v>
      </c>
      <c r="I3" s="131"/>
      <c r="J3" s="124" t="e">
        <f>'1. All Data'!#REF!</f>
        <v>#REF!</v>
      </c>
      <c r="O3" s="99" t="s">
        <v>73</v>
      </c>
    </row>
    <row r="4" spans="1:46" ht="99.75" customHeight="1" thickTop="1" thickBot="1">
      <c r="A4" s="95" t="str">
        <f>'1. All Data'!B3</f>
        <v>PB01</v>
      </c>
      <c r="B4" s="127" t="str">
        <f>'1. All Data'!C3</f>
        <v>Tackling the cost of living crisis</v>
      </c>
      <c r="C4" s="128" t="str">
        <f>'1. All Data'!D3</f>
        <v>With partners, support and advise local residents by commissioning a new local debt advice service</v>
      </c>
      <c r="D4" s="124" t="str">
        <f>'1. All Data'!H3</f>
        <v>On Track to be Achieved</v>
      </c>
      <c r="E4" s="97"/>
      <c r="F4" s="125" t="str">
        <f>'1. All Data'!M3</f>
        <v>Fully Achieved</v>
      </c>
      <c r="G4" s="97"/>
      <c r="H4" s="126" t="str">
        <f>'1. All Data'!R3</f>
        <v>Fully Achieved</v>
      </c>
      <c r="I4" s="97"/>
      <c r="J4" s="126" t="str">
        <f>'1. All Data'!V3</f>
        <v>Fully Achieved</v>
      </c>
      <c r="O4" s="99" t="s">
        <v>75</v>
      </c>
      <c r="Y4" s="97" t="s">
        <v>74</v>
      </c>
    </row>
    <row r="5" spans="1:46" ht="99.75" customHeight="1" thickTop="1" thickBot="1">
      <c r="A5" s="95" t="str">
        <f>'1. All Data'!B4</f>
        <v>PB02</v>
      </c>
      <c r="B5" s="127" t="str">
        <f>'1. All Data'!C4</f>
        <v>Tackling the cost of living crisis</v>
      </c>
      <c r="C5" s="128" t="str">
        <f>'1. All Data'!D4</f>
        <v>Retain and enhance warm spaces and warm banks to provide continued support for residents who need help with energy bills</v>
      </c>
      <c r="D5" s="124" t="str">
        <f>'1. All Data'!H4</f>
        <v>On Track to be Achieved</v>
      </c>
      <c r="E5" s="97"/>
      <c r="F5" s="125" t="str">
        <f>'1. All Data'!M4</f>
        <v>On Track to be Achieved</v>
      </c>
      <c r="G5" s="97"/>
      <c r="H5" s="126" t="str">
        <f>'1. All Data'!R4</f>
        <v>Fully Achieved</v>
      </c>
      <c r="I5" s="97"/>
      <c r="J5" s="126" t="str">
        <f>'1. All Data'!V4</f>
        <v>Fully Achieved</v>
      </c>
      <c r="O5" s="99" t="s">
        <v>76</v>
      </c>
      <c r="T5" s="101"/>
      <c r="Y5" s="102" t="s">
        <v>77</v>
      </c>
    </row>
    <row r="6" spans="1:46" ht="102.75" thickTop="1" thickBot="1">
      <c r="A6" s="95" t="str">
        <f>'1. All Data'!B5</f>
        <v>PB03</v>
      </c>
      <c r="B6" s="127" t="str">
        <f>'1. All Data'!C5</f>
        <v>Tackling the cost of living crisis</v>
      </c>
      <c r="C6" s="128" t="str">
        <f>'1. All Data'!D5</f>
        <v>Support the work of local groups around the borough by supplying relevant supplies to food banks when stock runs low</v>
      </c>
      <c r="D6" s="124" t="str">
        <f>'1. All Data'!H5</f>
        <v>On Track to be Achieved</v>
      </c>
      <c r="E6" s="97"/>
      <c r="F6" s="125" t="str">
        <f>'1. All Data'!M5</f>
        <v>On Track to be Achieved</v>
      </c>
      <c r="G6" s="97"/>
      <c r="H6" s="126" t="str">
        <f>'1. All Data'!R5</f>
        <v>Fully Achieved</v>
      </c>
      <c r="I6" s="97"/>
      <c r="J6" s="126" t="str">
        <f>'1. All Data'!V5</f>
        <v>Fully Achieved</v>
      </c>
      <c r="O6" s="103" t="s">
        <v>72</v>
      </c>
      <c r="T6" s="104" t="s">
        <v>77</v>
      </c>
    </row>
    <row r="7" spans="1:46" ht="99.75" customHeight="1" thickTop="1">
      <c r="A7" s="95" t="str">
        <f>'1. All Data'!B6</f>
        <v>PB04</v>
      </c>
      <c r="B7" s="127" t="str">
        <f>'1. All Data'!C6</f>
        <v>Housing and Planning – improve homelessness prevention</v>
      </c>
      <c r="C7" s="128" t="str">
        <f>'1. All Data'!D6</f>
        <v>Review and consider improvements for night shelter facilities</v>
      </c>
      <c r="D7" s="124" t="str">
        <f>'1. All Data'!H6</f>
        <v>On Track to be Achieved</v>
      </c>
      <c r="E7" s="97"/>
      <c r="F7" s="125" t="str">
        <f>'1. All Data'!M6</f>
        <v>Fully Achieved</v>
      </c>
      <c r="G7" s="97"/>
      <c r="H7" s="126" t="str">
        <f>'1. All Data'!R6</f>
        <v>Fully Achieved</v>
      </c>
      <c r="I7" s="97"/>
      <c r="J7" s="126" t="str">
        <f>'1. All Data'!V6</f>
        <v>Fully Achieved</v>
      </c>
      <c r="T7" s="104" t="s">
        <v>78</v>
      </c>
    </row>
    <row r="8" spans="1:46" ht="99.75" customHeight="1">
      <c r="A8" s="95" t="str">
        <f>'1. All Data'!B7</f>
        <v>SC01</v>
      </c>
      <c r="B8" s="127" t="str">
        <f>'1. All Data'!C7</f>
        <v>Ensuring the right to food</v>
      </c>
      <c r="C8" s="128" t="str">
        <f>'1. All Data'!D7</f>
        <v>Work with partners to campaign for universal school meals by adopting and publicising a council motion</v>
      </c>
      <c r="D8" s="124" t="str">
        <f>'1. All Data'!H7</f>
        <v>Not Yet Due</v>
      </c>
      <c r="E8" s="97"/>
      <c r="F8" s="125" t="str">
        <f>'1. All Data'!M7</f>
        <v>Fully Achieved</v>
      </c>
      <c r="G8" s="97"/>
      <c r="H8" s="126" t="str">
        <f>'1. All Data'!R7</f>
        <v>Fully Achieved</v>
      </c>
      <c r="I8" s="97"/>
      <c r="J8" s="126" t="str">
        <f>'1. All Data'!V7</f>
        <v>Fully Achieved</v>
      </c>
      <c r="T8" s="104" t="s">
        <v>74</v>
      </c>
    </row>
    <row r="9" spans="1:46" ht="99.75" customHeight="1">
      <c r="A9" s="95" t="str">
        <f>'1. All Data'!B8</f>
        <v>SC02</v>
      </c>
      <c r="B9" s="127" t="str">
        <f>'1. All Data'!C8</f>
        <v>Ensuring the right to food</v>
      </c>
      <c r="C9" s="128" t="str">
        <f>'1. All Data'!D8</f>
        <v>Introduce community kitchens in existing council facilities</v>
      </c>
      <c r="D9" s="124" t="str">
        <f>'1. All Data'!H8</f>
        <v>Not Yet Due</v>
      </c>
      <c r="E9" s="96"/>
      <c r="F9" s="125" t="str">
        <f>'1. All Data'!M8</f>
        <v>On Track to be Achieved</v>
      </c>
      <c r="G9" s="97"/>
      <c r="H9" s="126" t="str">
        <f>'1. All Data'!R8</f>
        <v>On Track to be Achieved</v>
      </c>
      <c r="I9" s="97"/>
      <c r="J9" s="126" t="str">
        <f>'1. All Data'!V8</f>
        <v>Fully Achieved</v>
      </c>
    </row>
    <row r="10" spans="1:46" ht="99.75" customHeight="1">
      <c r="A10" s="95" t="str">
        <f>'1. All Data'!B9</f>
        <v>SC03</v>
      </c>
      <c r="B10" s="127" t="str">
        <f>'1. All Data'!C9</f>
        <v>Ensuring the right to food</v>
      </c>
      <c r="C10" s="128" t="str">
        <f>'1. All Data'!D9</f>
        <v>Adopt and publicise the Right to Food motion at Full Council meeting</v>
      </c>
      <c r="D10" s="124" t="str">
        <f>'1. All Data'!H9</f>
        <v>On Track to be Achieved</v>
      </c>
      <c r="E10" s="96"/>
      <c r="F10" s="125" t="str">
        <f>'1. All Data'!M9</f>
        <v>Fully Achieved</v>
      </c>
      <c r="G10" s="97"/>
      <c r="H10" s="126" t="str">
        <f>'1. All Data'!R9</f>
        <v>Fully Achieved</v>
      </c>
      <c r="I10" s="97"/>
      <c r="J10" s="126" t="str">
        <f>'1. All Data'!V9</f>
        <v>Fully Achieved</v>
      </c>
    </row>
    <row r="11" spans="1:46" ht="99.75" customHeight="1">
      <c r="A11" s="95" t="str">
        <f>'1. All Data'!B10</f>
        <v>CRS07</v>
      </c>
      <c r="B11" s="127" t="str">
        <f>'1. All Data'!C10</f>
        <v>Delivering Better Services to Support Homelessness</v>
      </c>
      <c r="C11" s="128" t="str">
        <f>'1. All Data'!D10</f>
        <v>Approve Refreshed Homelessness Strategy</v>
      </c>
      <c r="D11" s="124" t="str">
        <f>'1. All Data'!H10</f>
        <v>On Track to be Achieved</v>
      </c>
      <c r="E11" s="96"/>
      <c r="F11" s="125" t="str">
        <f>'1. All Data'!M10</f>
        <v>On Track to be Achieved</v>
      </c>
      <c r="G11" s="97"/>
      <c r="H11" s="126" t="str">
        <f>'1. All Data'!R10</f>
        <v>Fully Achieved</v>
      </c>
      <c r="I11" s="97"/>
      <c r="J11" s="126" t="str">
        <f>'1. All Data'!V10</f>
        <v>Fully Achieved</v>
      </c>
    </row>
    <row r="12" spans="1:46" ht="99.75" customHeight="1">
      <c r="A12" s="95" t="str">
        <f>'1. All Data'!B11</f>
        <v>CRS08</v>
      </c>
      <c r="B12" s="127" t="str">
        <f>'1. All Data'!C11</f>
        <v>Housing Strategy Initiatives: 
Update on Improvements to the Housing Register</v>
      </c>
      <c r="C12" s="128" t="str">
        <f>'1. All Data'!D11</f>
        <v>Produce an update report and next steps for revised Housing Register and Allocations Service Contract</v>
      </c>
      <c r="D12" s="124" t="str">
        <f>'1. All Data'!H11</f>
        <v>On Track to be Achieved</v>
      </c>
      <c r="E12" s="97"/>
      <c r="F12" s="125" t="str">
        <f>'1. All Data'!M11</f>
        <v>On Track to be Achieved</v>
      </c>
      <c r="G12" s="97"/>
      <c r="H12" s="126" t="str">
        <f>'1. All Data'!R11</f>
        <v>Fully Achieved</v>
      </c>
      <c r="I12" s="104"/>
      <c r="J12" s="126" t="str">
        <f>'1. All Data'!V11</f>
        <v>Fully Achieved</v>
      </c>
    </row>
    <row r="13" spans="1:46" ht="99.75" customHeight="1">
      <c r="A13" s="95" t="str">
        <f>'1. All Data'!B12</f>
        <v>CRS09</v>
      </c>
      <c r="B13" s="127" t="str">
        <f>'1. All Data'!C12</f>
        <v>Housing Strategy Initiatives: 
Update on Improvements to the Housing Register</v>
      </c>
      <c r="C13" s="128" t="str">
        <f>'1. All Data'!D12</f>
        <v>Performance report identifying the reduction in empty homes</v>
      </c>
      <c r="D13" s="124" t="str">
        <f>'1. All Data'!H12</f>
        <v>Not Yet Due</v>
      </c>
      <c r="E13" s="97"/>
      <c r="F13" s="125" t="str">
        <f>'1. All Data'!M12</f>
        <v>Not Yet Due</v>
      </c>
      <c r="G13" s="97"/>
      <c r="H13" s="126" t="str">
        <f>'1. All Data'!R12</f>
        <v>On Track to be Achieved</v>
      </c>
      <c r="I13" s="97"/>
      <c r="J13" s="126" t="str">
        <f>'1. All Data'!V12</f>
        <v>Fully Achieved</v>
      </c>
    </row>
    <row r="14" spans="1:46" ht="99.75" customHeight="1">
      <c r="A14" s="95" t="str">
        <f>'1. All Data'!B13</f>
        <v>CRS10</v>
      </c>
      <c r="B14" s="127" t="str">
        <f>'1. All Data'!C13</f>
        <v>Delivering Better Services to Support Homelessness</v>
      </c>
      <c r="C14" s="128" t="str">
        <f>'1. All Data'!D13</f>
        <v>Average time from appointment to initial decision for homeless applicants of 3 days</v>
      </c>
      <c r="D14" s="124" t="str">
        <f>'1. All Data'!H13</f>
        <v>On Track to be Achieved</v>
      </c>
      <c r="E14" s="97"/>
      <c r="F14" s="125" t="str">
        <f>'1. All Data'!M13</f>
        <v>On Track to be Achieved</v>
      </c>
      <c r="G14" s="97"/>
      <c r="H14" s="126" t="str">
        <f>'1. All Data'!R13</f>
        <v>On Track to be Achieved</v>
      </c>
      <c r="I14" s="97"/>
      <c r="J14" s="126" t="str">
        <f>'1. All Data'!V13</f>
        <v>Fully Achieved</v>
      </c>
    </row>
    <row r="15" spans="1:46" ht="99.75" customHeight="1">
      <c r="A15" s="95" t="str">
        <f>'1. All Data'!B15</f>
        <v>FTM01</v>
      </c>
      <c r="B15" s="127" t="str">
        <f>'1. All Data'!C15</f>
        <v>Delivering Better Services to Support the Cost of Living Crisis</v>
      </c>
      <c r="C15" s="128" t="str">
        <f>'1. All Data'!D15</f>
        <v>Conduct a review of Local Council Tax Reduction Scheme</v>
      </c>
      <c r="D15" s="124" t="str">
        <f>'1. All Data'!H15</f>
        <v>On Track to be Achieved</v>
      </c>
      <c r="E15" s="97"/>
      <c r="F15" s="125" t="str">
        <f>'1. All Data'!M15</f>
        <v>On Track to be Achieved</v>
      </c>
      <c r="G15" s="97"/>
      <c r="H15" s="126" t="str">
        <f>'1. All Data'!R15</f>
        <v>Fully Achieved</v>
      </c>
      <c r="I15" s="97"/>
      <c r="J15" s="126" t="str">
        <f>'1. All Data'!V15</f>
        <v>Fully Achieved</v>
      </c>
    </row>
    <row r="16" spans="1:46" ht="99.75" customHeight="1">
      <c r="A16" s="95" t="str">
        <f>'1. All Data'!B16</f>
        <v>FTM02</v>
      </c>
      <c r="B16" s="127" t="str">
        <f>'1. All Data'!C16</f>
        <v>Delivering Better Services to Support the Cost of Living Crisis</v>
      </c>
      <c r="C16" s="128" t="str">
        <f>'1. All Data'!D16</f>
        <v xml:space="preserve">Time Taken to Process Benefit New Claims and Change Events (Previously NI 181)
Average time: 4.5 days  </v>
      </c>
      <c r="D16" s="124" t="str">
        <f>'1. All Data'!H16</f>
        <v>On Track to be Achieved</v>
      </c>
      <c r="E16" s="97"/>
      <c r="F16" s="125" t="str">
        <f>'1. All Data'!M16</f>
        <v>On Track to be Achieved</v>
      </c>
      <c r="G16" s="97"/>
      <c r="H16" s="126" t="str">
        <f>'1. All Data'!R16</f>
        <v>On Track to be Achieved</v>
      </c>
      <c r="I16" s="97"/>
      <c r="J16" s="126" t="str">
        <f>'1. All Data'!V16</f>
        <v>Fully Achieved</v>
      </c>
    </row>
    <row r="17" spans="1:10" ht="99.75" customHeight="1">
      <c r="A17" s="95" t="str">
        <f>'1. All Data'!B17</f>
        <v>FTM03a</v>
      </c>
      <c r="B17" s="127" t="str">
        <f>'1. All Data'!C17</f>
        <v xml:space="preserve">Continue to Maximise Income Through Effective Collection Processes </v>
      </c>
      <c r="C17" s="128" t="str">
        <f>'1. All Data'!D17</f>
        <v>Former Years Arrears for: 
Council Tax: 2,500,000</v>
      </c>
      <c r="D17" s="124" t="str">
        <f>'1. All Data'!H17</f>
        <v>On Track to be Achieved</v>
      </c>
      <c r="E17" s="97"/>
      <c r="F17" s="125" t="str">
        <f>'1. All Data'!M17</f>
        <v>On Track to be Achieved</v>
      </c>
      <c r="G17" s="97"/>
      <c r="H17" s="126" t="str">
        <f>'1. All Data'!R17</f>
        <v>On Track to be Achieved</v>
      </c>
      <c r="I17" s="97"/>
      <c r="J17" s="126" t="str">
        <f>'1. All Data'!V17</f>
        <v>Fully Achieved</v>
      </c>
    </row>
    <row r="18" spans="1:10" ht="99.75" customHeight="1">
      <c r="A18" s="95" t="str">
        <f>'1. All Data'!B18</f>
        <v>FTM03b</v>
      </c>
      <c r="B18" s="127" t="str">
        <f>'1. All Data'!C18</f>
        <v xml:space="preserve">Continue to Maximise Income Through Effective Collection Processes </v>
      </c>
      <c r="C18" s="128" t="str">
        <f>'1. All Data'!D18</f>
        <v>Former Years Arrears for: 
NNDR: 1,500,000</v>
      </c>
      <c r="D18" s="124" t="str">
        <f>'1. All Data'!H18</f>
        <v>On Track to be Achieved</v>
      </c>
      <c r="E18" s="97"/>
      <c r="F18" s="125" t="str">
        <f>'1. All Data'!M18</f>
        <v>On Track to be Achieved</v>
      </c>
      <c r="G18" s="97"/>
      <c r="H18" s="126" t="str">
        <f>'1. All Data'!R18</f>
        <v>On Track to be Achieved</v>
      </c>
      <c r="I18" s="97"/>
      <c r="J18" s="126" t="str">
        <f>'1. All Data'!V18</f>
        <v>Fully Achieved</v>
      </c>
    </row>
    <row r="19" spans="1:10" ht="99.75" customHeight="1">
      <c r="A19" s="95" t="str">
        <f>'1. All Data'!B19</f>
        <v>FTM03c</v>
      </c>
      <c r="B19" s="127" t="str">
        <f>'1. All Data'!C19</f>
        <v xml:space="preserve">Continue to Maximise Income Through Effective Collection Processes </v>
      </c>
      <c r="C19" s="128" t="str">
        <f>'1. All Data'!D19</f>
        <v>Former Years Arrears for: 
Sundry Debts: £80,000</v>
      </c>
      <c r="D19" s="124" t="str">
        <f>'1. All Data'!H19</f>
        <v>Not Yet Due</v>
      </c>
      <c r="E19" s="96"/>
      <c r="F19" s="125" t="str">
        <f>'1. All Data'!M19</f>
        <v>On Track to be Achieved</v>
      </c>
      <c r="G19" s="97"/>
      <c r="H19" s="126" t="str">
        <f>'1. All Data'!R19</f>
        <v>On Track to be Achieved</v>
      </c>
      <c r="I19" s="97"/>
      <c r="J19" s="126" t="str">
        <f>'1. All Data'!V19</f>
        <v>Fully Achieved</v>
      </c>
    </row>
    <row r="20" spans="1:10" ht="99.75" customHeight="1">
      <c r="A20" s="95" t="str">
        <f>'1. All Data'!B20</f>
        <v>FTM04a</v>
      </c>
      <c r="B20" s="127" t="str">
        <f>'1. All Data'!C20</f>
        <v>Working Towards the Reduction of Claimant Error Housing Benefit Overpayments (HBOPs)</v>
      </c>
      <c r="C20" s="128" t="str">
        <f>'1. All Data'!D20</f>
        <v xml:space="preserve">% HBOPs recovered During the Year: 90% </v>
      </c>
      <c r="D20" s="124" t="str">
        <f>'1. All Data'!H20</f>
        <v>On Track to be Achieved</v>
      </c>
      <c r="E20" s="96"/>
      <c r="F20" s="125" t="str">
        <f>'1. All Data'!M20</f>
        <v>On Track to be Achieved</v>
      </c>
      <c r="G20" s="97"/>
      <c r="H20" s="126" t="str">
        <f>'1. All Data'!R20</f>
        <v>On Track to be Achieved</v>
      </c>
      <c r="I20" s="97"/>
      <c r="J20" s="126" t="str">
        <f>'1. All Data'!V20</f>
        <v>Fully Achieved</v>
      </c>
    </row>
    <row r="21" spans="1:10" ht="99.75" customHeight="1">
      <c r="A21" s="95" t="str">
        <f>'1. All Data'!B21</f>
        <v>FTM04b</v>
      </c>
      <c r="B21" s="127" t="str">
        <f>'1. All Data'!C21</f>
        <v>Working Towards the Reduction of Claimant Error Housing Benefit Overpayments (HBOPs)</v>
      </c>
      <c r="C21" s="128" t="str">
        <f>'1. All Data'!D21</f>
        <v xml:space="preserve"> 
% of HBOPS Processed and on Payment Arrangement: 90% </v>
      </c>
      <c r="D21" s="124" t="str">
        <f>'1. All Data'!H21</f>
        <v>On Track to be Achieved</v>
      </c>
      <c r="E21" s="97"/>
      <c r="F21" s="125" t="str">
        <f>'1. All Data'!M21</f>
        <v>On Track to be Achieved</v>
      </c>
      <c r="G21" s="97"/>
      <c r="H21" s="126" t="str">
        <f>'1. All Data'!R21</f>
        <v>On Track to be Achieved</v>
      </c>
      <c r="I21" s="97"/>
      <c r="J21" s="126" t="str">
        <f>'1. All Data'!V21</f>
        <v>Numerical Outturn Within 5% Tolerance</v>
      </c>
    </row>
    <row r="22" spans="1:10" ht="99.75" customHeight="1">
      <c r="A22" s="95" t="str">
        <f>'1. All Data'!B22</f>
        <v>FTM04c</v>
      </c>
      <c r="B22" s="127" t="str">
        <f>'1. All Data'!C22</f>
        <v>Working Towards the Reduction of Claimant Error Housing Benefit Overpayments (HBOPs)</v>
      </c>
      <c r="C22" s="128" t="str">
        <f>'1. All Data'!D22</f>
        <v xml:space="preserve">
In Year HBOPs Recovered During the Year: 50%</v>
      </c>
      <c r="D22" s="124" t="str">
        <f>'1. All Data'!H22</f>
        <v>On Track to be Achieved</v>
      </c>
      <c r="E22" s="97"/>
      <c r="F22" s="125" t="str">
        <f>'1. All Data'!M22</f>
        <v>On Track to be Achieved</v>
      </c>
      <c r="G22" s="97"/>
      <c r="H22" s="126" t="str">
        <f>'1. All Data'!R22</f>
        <v>On Track to be Achieved</v>
      </c>
      <c r="I22" s="97"/>
      <c r="J22" s="126" t="str">
        <f>'1. All Data'!V22</f>
        <v>Fully Achieved</v>
      </c>
    </row>
    <row r="23" spans="1:10" ht="99.75" customHeight="1">
      <c r="A23" s="95" t="str">
        <f>'1. All Data'!B23</f>
        <v>FTM05a</v>
      </c>
      <c r="B23" s="127" t="str">
        <f>'1. All Data'!C23</f>
        <v xml:space="preserve">Continue to Maximise Income Through Effective Collection Processes 
(Previously BV 9) </v>
      </c>
      <c r="C23" s="128" t="str">
        <f>'1. All Data'!D23</f>
        <v xml:space="preserve">Collection Rates of - 
    Council Tax : 98% </v>
      </c>
      <c r="D23" s="124" t="str">
        <f>'1. All Data'!H23</f>
        <v>On Track to be Achieved</v>
      </c>
      <c r="E23" s="97"/>
      <c r="F23" s="125" t="str">
        <f>'1. All Data'!M23</f>
        <v>On Track to be Achieved</v>
      </c>
      <c r="G23" s="97"/>
      <c r="H23" s="126" t="str">
        <f>'1. All Data'!R23</f>
        <v>On Track to be Achieved</v>
      </c>
      <c r="I23" s="97"/>
      <c r="J23" s="126" t="str">
        <f>'1. All Data'!V23</f>
        <v>Numerical Outturn Within 5% Tolerance</v>
      </c>
    </row>
    <row r="24" spans="1:10" ht="99.75" customHeight="1">
      <c r="A24" s="95" t="str">
        <f>'1. All Data'!B24</f>
        <v>FTM05b</v>
      </c>
      <c r="B24" s="127" t="str">
        <f>'1. All Data'!C24</f>
        <v xml:space="preserve">Continue to Maximise Income Through Effective Collection Processes 
(Previously BV 10) </v>
      </c>
      <c r="C24" s="128" t="str">
        <f>'1. All Data'!D24</f>
        <v>Collection Rates of - 
    NNDR : 99%</v>
      </c>
      <c r="D24" s="124" t="str">
        <f>'1. All Data'!H24</f>
        <v>On Track to be Achieved</v>
      </c>
      <c r="E24" s="97"/>
      <c r="F24" s="125" t="str">
        <f>'1. All Data'!M24</f>
        <v>On Track to be Achieved</v>
      </c>
      <c r="G24" s="97"/>
      <c r="H24" s="126" t="str">
        <f>'1. All Data'!R24</f>
        <v>On Track to be Achieved</v>
      </c>
      <c r="I24" s="97"/>
      <c r="J24" s="126" t="str">
        <f>'1. All Data'!V24</f>
        <v>Numerical Outturn Within 5% Tolerance</v>
      </c>
    </row>
    <row r="25" spans="1:10" ht="99.75" customHeight="1">
      <c r="A25" s="95" t="str">
        <f>'1. All Data'!B25</f>
        <v>PB10</v>
      </c>
      <c r="B25" s="127" t="str">
        <f>'1. All Data'!C25</f>
        <v>Building a Fairer Local Economy</v>
      </c>
      <c r="C25" s="128" t="str">
        <f>'1. All Data'!D25</f>
        <v>Work with partners to create a fair employment charter</v>
      </c>
      <c r="D25" s="124" t="str">
        <f>'1. All Data'!H25</f>
        <v>On Track to be Achieved</v>
      </c>
      <c r="E25" s="97"/>
      <c r="F25" s="125" t="str">
        <f>'1. All Data'!M25</f>
        <v>On Track to be Achieved</v>
      </c>
      <c r="G25" s="97"/>
      <c r="H25" s="126" t="str">
        <f>'1. All Data'!R25</f>
        <v>Fully Achieved</v>
      </c>
      <c r="I25" s="97"/>
      <c r="J25" s="126" t="str">
        <f>'1. All Data'!V25</f>
        <v>Fully Achieved</v>
      </c>
    </row>
    <row r="26" spans="1:10" ht="99.75" customHeight="1">
      <c r="A26" s="95" t="str">
        <f>'1. All Data'!B26</f>
        <v>LDR03</v>
      </c>
      <c r="B26" s="127" t="str">
        <f>'1. All Data'!C26</f>
        <v>Increasing Staffing Availability Through Reduced Sickness</v>
      </c>
      <c r="C26" s="128" t="str">
        <f>'1. All Data'!D26</f>
        <v>Short Term Sickness Days Average 3.5 days per FTE</v>
      </c>
      <c r="D26" s="124" t="str">
        <f>'1. All Data'!H26</f>
        <v>On Track to be Achieved</v>
      </c>
      <c r="E26" s="97"/>
      <c r="F26" s="125" t="str">
        <f>'1. All Data'!M26</f>
        <v>On Track to be Achieved</v>
      </c>
      <c r="G26" s="104"/>
      <c r="H26" s="126" t="str">
        <f>'1. All Data'!R26</f>
        <v>On Track to be Achieved</v>
      </c>
      <c r="I26" s="97"/>
      <c r="J26" s="126" t="str">
        <f>'1. All Data'!V26</f>
        <v>Fully Achieved</v>
      </c>
    </row>
    <row r="27" spans="1:10" ht="99.75" customHeight="1">
      <c r="A27" s="95" t="str">
        <f>'1. All Data'!B27</f>
        <v>LDR04</v>
      </c>
      <c r="B27" s="127" t="str">
        <f>'1. All Data'!C27</f>
        <v>Improve On The Average Time To Pay Creditors</v>
      </c>
      <c r="C27" s="128" t="str">
        <f>'1. All Data'!D27</f>
        <v>Improve purchase order transactions so that the next time Internal Audit review practice in Q4 2023/24, 80% of POs are in place from the Internal Audit sample</v>
      </c>
      <c r="D27" s="124" t="str">
        <f>'1. All Data'!H27</f>
        <v>Not Yet Due</v>
      </c>
      <c r="E27" s="97"/>
      <c r="F27" s="125" t="str">
        <f>'1. All Data'!M27</f>
        <v>Not Yet Due</v>
      </c>
      <c r="G27" s="97"/>
      <c r="H27" s="126" t="str">
        <f>'1. All Data'!R27</f>
        <v>Not Yet Due</v>
      </c>
      <c r="I27" s="97"/>
      <c r="J27" s="126" t="str">
        <f>'1. All Data'!V27</f>
        <v>Fully Achieved</v>
      </c>
    </row>
    <row r="28" spans="1:10" ht="99.75" customHeight="1">
      <c r="A28" s="95" t="str">
        <f>'1. All Data'!B28</f>
        <v>ID02</v>
      </c>
      <c r="B28" s="127" t="str">
        <f>'1. All Data'!C28</f>
        <v>Improve local democracy and consultation</v>
      </c>
      <c r="C28" s="128" t="str">
        <f>'1. All Data'!D28</f>
        <v>Hold Question &amp; Answer sessions with Cabinet Members using online and in-person community forums on ad hoc basis</v>
      </c>
      <c r="D28" s="124" t="str">
        <f>'1. All Data'!H28</f>
        <v>Not Yet Due</v>
      </c>
      <c r="E28" s="96"/>
      <c r="F28" s="125" t="str">
        <f>'1. All Data'!M28</f>
        <v>Fully Achieved</v>
      </c>
      <c r="G28" s="97"/>
      <c r="H28" s="126" t="str">
        <f>'1. All Data'!R28</f>
        <v>Fully Achieved</v>
      </c>
      <c r="I28" s="97"/>
      <c r="J28" s="126" t="str">
        <f>'1. All Data'!V28</f>
        <v>Fully Achieved</v>
      </c>
    </row>
    <row r="29" spans="1:10" ht="99.75" customHeight="1">
      <c r="A29" s="95" t="str">
        <f>'1. All Data'!B29</f>
        <v>ID03</v>
      </c>
      <c r="B29" s="127" t="str">
        <f>'1. All Data'!C29</f>
        <v>Improve local democracy and consultation</v>
      </c>
      <c r="C29" s="128" t="str">
        <f>'1. All Data'!D29</f>
        <v>Livestream Council meetings</v>
      </c>
      <c r="D29" s="124" t="str">
        <f>'1. All Data'!H29</f>
        <v>On Track to be Achieved</v>
      </c>
      <c r="E29" s="97"/>
      <c r="F29" s="125" t="str">
        <f>'1. All Data'!M29</f>
        <v>Fully Achieved</v>
      </c>
      <c r="G29" s="105"/>
      <c r="H29" s="126" t="str">
        <f>'1. All Data'!R29</f>
        <v>Fully Achieved</v>
      </c>
      <c r="I29" s="97"/>
      <c r="J29" s="126" t="str">
        <f>'1. All Data'!V29</f>
        <v>Fully Achieved</v>
      </c>
    </row>
    <row r="30" spans="1:10" ht="99.75" customHeight="1">
      <c r="A30" s="95" t="str">
        <f>'1. All Data'!B30</f>
        <v>ID04</v>
      </c>
      <c r="B30" s="127" t="str">
        <f>'1. All Data'!C30</f>
        <v>Improve local democracy and consultation</v>
      </c>
      <c r="C30" s="128" t="str">
        <f>'1. All Data'!D30</f>
        <v>Revoke Council Constitution changes from December 2022 and introduce public participation at scrutiny committees</v>
      </c>
      <c r="D30" s="124" t="str">
        <f>'1. All Data'!H30</f>
        <v>On Track to be Achieved</v>
      </c>
      <c r="E30" s="97"/>
      <c r="F30" s="125" t="str">
        <f>'1. All Data'!M30</f>
        <v>Fully Achieved</v>
      </c>
      <c r="G30" s="97"/>
      <c r="H30" s="126" t="str">
        <f>'1. All Data'!R30</f>
        <v>Fully Achieved</v>
      </c>
      <c r="I30" s="97"/>
      <c r="J30" s="126" t="str">
        <f>'1. All Data'!V30</f>
        <v>Fully Achieved</v>
      </c>
    </row>
    <row r="31" spans="1:10" ht="99.75" customHeight="1">
      <c r="A31" s="95" t="str">
        <f>'1. All Data'!B31</f>
        <v>ID05</v>
      </c>
      <c r="B31" s="127" t="str">
        <f>'1. All Data'!C31</f>
        <v>Improve local democracy and consultation</v>
      </c>
      <c r="C31" s="128" t="str">
        <f>'1. All Data'!D31</f>
        <v>Carry out a review of the Communications, Engagement and Consultation Strategy to improve existing council communications work</v>
      </c>
      <c r="D31" s="124" t="str">
        <f>'1. All Data'!H31</f>
        <v>Not Yet Due</v>
      </c>
      <c r="E31" s="97"/>
      <c r="F31" s="125" t="str">
        <f>'1. All Data'!M31</f>
        <v>On Track to be Achieved</v>
      </c>
      <c r="G31" s="97"/>
      <c r="H31" s="126" t="str">
        <f>'1. All Data'!R31</f>
        <v>Fully Achieved</v>
      </c>
      <c r="I31" s="97"/>
      <c r="J31" s="126" t="str">
        <f>'1. All Data'!V31</f>
        <v>Fully Achieved</v>
      </c>
    </row>
    <row r="32" spans="1:10" ht="99.75" customHeight="1">
      <c r="A32" s="95" t="str">
        <f>'1. All Data'!B32</f>
        <v>ID06</v>
      </c>
      <c r="B32" s="127" t="str">
        <f>'1. All Data'!C32</f>
        <v>Improve local democracy and consultation</v>
      </c>
      <c r="C32" s="128" t="str">
        <f>'1. All Data'!D32</f>
        <v>Introduce a Citizens Assembly</v>
      </c>
      <c r="D32" s="124" t="str">
        <f>'1. All Data'!H32</f>
        <v>Not Yet Due</v>
      </c>
      <c r="E32" s="96"/>
      <c r="F32" s="125" t="str">
        <f>'1. All Data'!M32</f>
        <v>On Track to be Achieved</v>
      </c>
      <c r="G32" s="97"/>
      <c r="H32" s="126" t="str">
        <f>'1. All Data'!R32</f>
        <v>On Track to be Achieved</v>
      </c>
      <c r="I32" s="97"/>
      <c r="J32" s="126" t="str">
        <f>'1. All Data'!V32</f>
        <v>Fully Achieved</v>
      </c>
    </row>
    <row r="33" spans="1:10" ht="99.75" customHeight="1">
      <c r="A33" s="95" t="str">
        <f>'1. All Data'!B33</f>
        <v>PB06b</v>
      </c>
      <c r="B33" s="127" t="str">
        <f>'1. All Data'!C33</f>
        <v>Building a Fairer Local Economy</v>
      </c>
      <c r="C33" s="128" t="str">
        <f>'1. All Data'!D33</f>
        <v>Incentivise existing providers to recruit new staff/apprentices</v>
      </c>
      <c r="D33" s="124" t="str">
        <f>'1. All Data'!H33</f>
        <v>Not Yet Due</v>
      </c>
      <c r="E33" s="97"/>
      <c r="F33" s="125" t="str">
        <f>'1. All Data'!M33</f>
        <v>On Track to be Achieved</v>
      </c>
      <c r="G33" s="97"/>
      <c r="H33" s="126" t="str">
        <f>'1. All Data'!R33</f>
        <v>Fully Achieved</v>
      </c>
      <c r="I33" s="97"/>
      <c r="J33" s="126" t="str">
        <f>'1. All Data'!V33</f>
        <v>Fully Achieved</v>
      </c>
    </row>
    <row r="34" spans="1:10" ht="99.75" customHeight="1">
      <c r="A34" s="95" t="str">
        <f>'1. All Data'!B34</f>
        <v>PH05</v>
      </c>
      <c r="B34" s="127" t="str">
        <f>'1. All Data'!C34</f>
        <v>Protecting our Heritage</v>
      </c>
      <c r="C34" s="128" t="str">
        <f>'1. All Data'!D34</f>
        <v>Upgrade the Market Hall working group to a scrutiny committee</v>
      </c>
      <c r="D34" s="124" t="str">
        <f>'1. All Data'!H34</f>
        <v>Fully Achieved</v>
      </c>
      <c r="E34" s="97"/>
      <c r="F34" s="125" t="str">
        <f>'1. All Data'!M34</f>
        <v>Fully Achieved</v>
      </c>
      <c r="G34" s="97"/>
      <c r="H34" s="126" t="str">
        <f>'1. All Data'!R34</f>
        <v>Fully Achieved</v>
      </c>
      <c r="I34" s="97"/>
      <c r="J34" s="126" t="str">
        <f>'1. All Data'!V34</f>
        <v>Fully Achieved</v>
      </c>
    </row>
    <row r="35" spans="1:10" ht="99.75" customHeight="1">
      <c r="A35" s="95" t="str">
        <f>'1. All Data'!B35</f>
        <v>SC05</v>
      </c>
      <c r="B35" s="127" t="str">
        <f>'1. All Data'!C35</f>
        <v>Standing up for our NHS</v>
      </c>
      <c r="C35" s="128" t="str">
        <f>'1. All Data'!D35</f>
        <v>Create a sole focus for health scrutiny in a single scrutiny committee</v>
      </c>
      <c r="D35" s="124" t="str">
        <f>'1. All Data'!H35</f>
        <v>Fully Achieved</v>
      </c>
      <c r="E35" s="96"/>
      <c r="F35" s="125" t="str">
        <f>'1. All Data'!M35</f>
        <v>Fully Achieved</v>
      </c>
      <c r="G35" s="97"/>
      <c r="H35" s="126" t="str">
        <f>'1. All Data'!R35</f>
        <v>Fully Achieved</v>
      </c>
      <c r="I35" s="97"/>
      <c r="J35" s="126" t="str">
        <f>'1. All Data'!V35</f>
        <v>Fully Achieved</v>
      </c>
    </row>
    <row r="36" spans="1:10" ht="99.75" customHeight="1">
      <c r="A36" s="95" t="str">
        <f>'1. All Data'!B36</f>
        <v>TCD09a</v>
      </c>
      <c r="B36" s="127" t="str">
        <f>'1. All Data'!C36</f>
        <v>Improve awareness of Council Services, venues and initiatives</v>
      </c>
      <c r="C36" s="128" t="str">
        <f>'1. All Data'!D36</f>
        <v>Continue to redevelop Council’s corporate website</v>
      </c>
      <c r="D36" s="124" t="str">
        <f>'1. All Data'!H36</f>
        <v>On Track to be Achieved</v>
      </c>
      <c r="E36" s="97"/>
      <c r="F36" s="125" t="str">
        <f>'1. All Data'!M36</f>
        <v>Fully Achieved</v>
      </c>
      <c r="G36" s="97"/>
      <c r="H36" s="126" t="str">
        <f>'1. All Data'!R36</f>
        <v>Fully Achieved</v>
      </c>
      <c r="I36" s="97"/>
      <c r="J36" s="126" t="str">
        <f>'1. All Data'!V36</f>
        <v>Fully Achieved</v>
      </c>
    </row>
    <row r="37" spans="1:10" ht="99.75" customHeight="1">
      <c r="A37" s="95" t="str">
        <f>'1. All Data'!B37</f>
        <v>TCD10</v>
      </c>
      <c r="B37" s="127" t="str">
        <f>'1. All Data'!C37</f>
        <v xml:space="preserve">Supporting Sport and Leisure Delivery </v>
      </c>
      <c r="C37" s="128" t="str">
        <f>'1. All Data'!D37</f>
        <v>Review outdoor sports provision in Uttoxeter, including the proposed Sports Hub and other potential outdoor sports sites</v>
      </c>
      <c r="D37" s="124" t="str">
        <f>'1. All Data'!H37</f>
        <v>Not Yet Due</v>
      </c>
      <c r="E37" s="96"/>
      <c r="F37" s="125" t="str">
        <f>'1. All Data'!M37</f>
        <v>On Track to be Achieved</v>
      </c>
      <c r="G37" s="97"/>
      <c r="H37" s="126" t="str">
        <f>'1. All Data'!R37</f>
        <v>On Track to be Achieved</v>
      </c>
      <c r="I37" s="97"/>
      <c r="J37" s="126" t="str">
        <f>'1. All Data'!V37</f>
        <v>Fully Achieved</v>
      </c>
    </row>
    <row r="38" spans="1:10" ht="99.75" customHeight="1">
      <c r="A38" s="95" t="str">
        <f>'1. All Data'!B38</f>
        <v>TCD11</v>
      </c>
      <c r="B38" s="127" t="str">
        <f>'1. All Data'!C38</f>
        <v>Supporting Sport and Leisure Delivery</v>
      </c>
      <c r="C38" s="128" t="str">
        <f>'1. All Data'!D38</f>
        <v>Updated Playing Pitch Strategy and review of indoor facilities completed</v>
      </c>
      <c r="D38" s="124" t="str">
        <f>'1. All Data'!H38</f>
        <v>On Track to be Achieved</v>
      </c>
      <c r="E38" s="97"/>
      <c r="F38" s="125" t="str">
        <f>'1. All Data'!M38</f>
        <v>On Track to be Achieved</v>
      </c>
      <c r="G38" s="105"/>
      <c r="H38" s="126" t="str">
        <f>'1. All Data'!R38</f>
        <v>On Track to be Achieved</v>
      </c>
      <c r="I38" s="97"/>
      <c r="J38" s="126" t="str">
        <f>'1. All Data'!V38</f>
        <v>Fully Achieved</v>
      </c>
    </row>
    <row r="39" spans="1:10" ht="99.75" customHeight="1">
      <c r="A39" s="95" t="str">
        <f>'1. All Data'!B39</f>
        <v>TCD12</v>
      </c>
      <c r="B39" s="127" t="str">
        <f>'1. All Data'!C39</f>
        <v xml:space="preserve">Maintain Robust Mechanisms for Contract Managing the Leisure Service Arrangements </v>
      </c>
      <c r="C39" s="128" t="str">
        <f>'1. All Data'!D39</f>
        <v>Report on the performance of the Leisure Operator on a quarterly basis</v>
      </c>
      <c r="D39" s="124" t="str">
        <f>'1. All Data'!H39</f>
        <v>On Track to be Achieved</v>
      </c>
      <c r="E39" s="96"/>
      <c r="F39" s="125" t="str">
        <f>'1. All Data'!M39</f>
        <v>On Track to be Achieved</v>
      </c>
      <c r="G39" s="105"/>
      <c r="H39" s="126" t="str">
        <f>'1. All Data'!R39</f>
        <v>On Track to be Achieved</v>
      </c>
      <c r="I39" s="97"/>
      <c r="J39" s="126" t="str">
        <f>'1. All Data'!V39</f>
        <v>Fully Achieved</v>
      </c>
    </row>
    <row r="40" spans="1:10" ht="99.75" customHeight="1">
      <c r="A40" s="95" t="str">
        <f>'1. All Data'!B40</f>
        <v>TCD13</v>
      </c>
      <c r="B40" s="127" t="str">
        <f>'1. All Data'!C40</f>
        <v>Supporting Sport and Leisure Delivery</v>
      </c>
      <c r="C40" s="128" t="str">
        <f>'1. All Data'!D40</f>
        <v>Work with our Leisure Operator to deliver an enhanced play day experience during summer 2023, providing free access for our local communities.</v>
      </c>
      <c r="D40" s="124" t="str">
        <f>'1. All Data'!H40</f>
        <v>On Track to be Achieved</v>
      </c>
      <c r="E40" s="97"/>
      <c r="F40" s="125" t="str">
        <f>'1. All Data'!M40</f>
        <v>Fully Achieved</v>
      </c>
      <c r="G40" s="97"/>
      <c r="H40" s="126" t="str">
        <f>'1. All Data'!R40</f>
        <v>Fully Achieved</v>
      </c>
      <c r="I40" s="97"/>
      <c r="J40" s="126" t="str">
        <f>'1. All Data'!V40</f>
        <v>Fully Achieved</v>
      </c>
    </row>
    <row r="41" spans="1:10" ht="99.75" customHeight="1">
      <c r="A41" s="95" t="str">
        <f>'1. All Data'!B41</f>
        <v>TCD14</v>
      </c>
      <c r="B41" s="127" t="str">
        <f>'1. All Data'!C41</f>
        <v>Developing Healthy Lifestyles</v>
      </c>
      <c r="C41" s="128" t="str">
        <f>'1. All Data'!D41</f>
        <v>Support the Better Health programme into the delivery phase and represent East Staffordshire through quarterly meetings</v>
      </c>
      <c r="D41" s="124" t="str">
        <f>'1. All Data'!H41</f>
        <v>On Track to be Achieved</v>
      </c>
      <c r="E41" s="97"/>
      <c r="F41" s="125" t="str">
        <f>'1. All Data'!M41</f>
        <v>On Track to be Achieved</v>
      </c>
      <c r="G41" s="97"/>
      <c r="H41" s="126" t="str">
        <f>'1. All Data'!R41</f>
        <v>On Track to be Achieved</v>
      </c>
      <c r="I41" s="97"/>
      <c r="J41" s="126" t="str">
        <f>'1. All Data'!V41</f>
        <v>Fully Achieved</v>
      </c>
    </row>
    <row r="42" spans="1:10" ht="99.75" customHeight="1">
      <c r="A42" s="95" t="str">
        <f>'1. All Data'!B42</f>
        <v>TCD15</v>
      </c>
      <c r="B42" s="127" t="str">
        <f>'1. All Data'!C42</f>
        <v>Supporting Sport and Leisure Delivery</v>
      </c>
      <c r="C42" s="128" t="str">
        <f>'1. All Data'!D42</f>
        <v>Undertake a review of the grant funding process that currently takes place through the East Staffordshire Sports Council</v>
      </c>
      <c r="D42" s="124" t="str">
        <f>'1. All Data'!H42</f>
        <v>On Track to be Achieved</v>
      </c>
      <c r="E42" s="96"/>
      <c r="F42" s="125" t="str">
        <f>'1. All Data'!M42</f>
        <v>Fully Achieved</v>
      </c>
      <c r="G42" s="105"/>
      <c r="H42" s="126" t="str">
        <f>'1. All Data'!R42</f>
        <v>Fully Achieved</v>
      </c>
      <c r="I42" s="105"/>
      <c r="J42" s="126" t="str">
        <f>'1. All Data'!V42</f>
        <v>Fully Achieved</v>
      </c>
    </row>
    <row r="43" spans="1:10" ht="99.75" customHeight="1">
      <c r="A43" s="95" t="str">
        <f>'1. All Data'!B43</f>
        <v>LDR01</v>
      </c>
      <c r="B43" s="127" t="str">
        <f>'1. All Data'!C43</f>
        <v>Further Enhancing Corporate Communications</v>
      </c>
      <c r="C43" s="128" t="str">
        <f>'1. All Data'!D43</f>
        <v>Introduce a regular Business online newsletter, delivering a minimum of 6 newsletters</v>
      </c>
      <c r="D43" s="124" t="str">
        <f>'1. All Data'!H43</f>
        <v>On Track to be Achieved</v>
      </c>
      <c r="E43" s="96"/>
      <c r="F43" s="125" t="str">
        <f>'1. All Data'!M43</f>
        <v>On Track to be Achieved</v>
      </c>
      <c r="G43" s="97"/>
      <c r="H43" s="126" t="str">
        <f>'1. All Data'!R43</f>
        <v>On Track to be Achieved</v>
      </c>
      <c r="I43" s="97"/>
      <c r="J43" s="126" t="str">
        <f>'1. All Data'!V43</f>
        <v>Fully Achieved</v>
      </c>
    </row>
    <row r="44" spans="1:10" ht="99.75" customHeight="1">
      <c r="A44" s="95" t="str">
        <f>'1. All Data'!B44</f>
        <v>LDR02</v>
      </c>
      <c r="B44" s="127" t="str">
        <f>'1. All Data'!C44</f>
        <v>Enhancing Procurement and Contract Management Processes</v>
      </c>
      <c r="C44" s="128" t="str">
        <f>'1. All Data'!D44</f>
        <v>Create a Procurement Improvement Action Plan, based on Whole Council Spend Analysis</v>
      </c>
      <c r="D44" s="124" t="str">
        <f>'1. All Data'!H44</f>
        <v>On Track to be Achieved</v>
      </c>
      <c r="E44" s="96"/>
      <c r="F44" s="125" t="str">
        <f>'1. All Data'!M44</f>
        <v>On Track to be Achieved</v>
      </c>
      <c r="G44" s="97"/>
      <c r="H44" s="126" t="str">
        <f>'1. All Data'!R44</f>
        <v>Fully Achieved</v>
      </c>
      <c r="I44" s="97"/>
      <c r="J44" s="126" t="str">
        <f>'1. All Data'!V44</f>
        <v>Fully Achieved</v>
      </c>
    </row>
    <row r="45" spans="1:10" ht="99.75" customHeight="1">
      <c r="A45" s="95" t="str">
        <f>'1. All Data'!B45</f>
        <v>LDR05</v>
      </c>
      <c r="B45" s="127" t="str">
        <f>'1. All Data'!C45</f>
        <v>Further Digital Enhancements</v>
      </c>
      <c r="C45" s="128" t="str">
        <f>'1. All Data'!D45</f>
        <v>Elected Member Intranet Implemented</v>
      </c>
      <c r="D45" s="124" t="str">
        <f>'1. All Data'!H45</f>
        <v>Fully Achieved</v>
      </c>
      <c r="E45" s="97"/>
      <c r="F45" s="125" t="str">
        <f>'1. All Data'!M45</f>
        <v>Fully Achieved</v>
      </c>
      <c r="G45" s="97"/>
      <c r="H45" s="126" t="str">
        <f>'1. All Data'!R45</f>
        <v>Fully Achieved</v>
      </c>
      <c r="I45" s="97"/>
      <c r="J45" s="126" t="str">
        <f>'1. All Data'!V45</f>
        <v>Fully Achieved</v>
      </c>
    </row>
    <row r="46" spans="1:10" ht="99.75" customHeight="1">
      <c r="A46" s="95" t="str">
        <f>'1. All Data'!B47</f>
        <v>LDR07</v>
      </c>
      <c r="B46" s="127" t="str">
        <f>'1. All Data'!C47</f>
        <v>Refresh Member Training</v>
      </c>
      <c r="C46" s="128" t="str">
        <f>'1. All Data'!D47</f>
        <v xml:space="preserve">Review Member Induction Programme </v>
      </c>
      <c r="D46" s="124" t="str">
        <f>'1. All Data'!H47</f>
        <v>Not Yet Due</v>
      </c>
      <c r="E46" s="97"/>
      <c r="F46" s="125" t="str">
        <f>'1. All Data'!M47</f>
        <v>On Track to be Achieved</v>
      </c>
      <c r="G46" s="97"/>
      <c r="H46" s="126" t="str">
        <f>'1. All Data'!R47</f>
        <v>Fully Achieved</v>
      </c>
      <c r="I46" s="97"/>
      <c r="J46" s="126" t="str">
        <f>'1. All Data'!V47</f>
        <v>Fully Achieved</v>
      </c>
    </row>
    <row r="47" spans="1:10" ht="99.75" customHeight="1">
      <c r="A47" s="95" t="str">
        <f>'1. All Data'!B48</f>
        <v>FTM06</v>
      </c>
      <c r="B47" s="127" t="str">
        <f>'1. All Data'!C48</f>
        <v>Improving Financial Stewardship</v>
      </c>
      <c r="C47" s="128" t="str">
        <f>'1. All Data'!D48</f>
        <v>Approve the revised Treasury Management Strategy</v>
      </c>
      <c r="D47" s="124" t="str">
        <f>'1. All Data'!H48</f>
        <v>Not Yet Due</v>
      </c>
      <c r="E47" s="97"/>
      <c r="F47" s="125" t="str">
        <f>'1. All Data'!M48</f>
        <v>Not Yet Due</v>
      </c>
      <c r="G47" s="97"/>
      <c r="H47" s="126" t="str">
        <f>'1. All Data'!R48</f>
        <v>On Track to be Achieved</v>
      </c>
      <c r="I47" s="97"/>
      <c r="J47" s="126" t="str">
        <f>'1. All Data'!V48</f>
        <v>Fully Achieved</v>
      </c>
    </row>
    <row r="48" spans="1:10" ht="99.75" customHeight="1">
      <c r="A48" s="95" t="str">
        <f>'1. All Data'!B49</f>
        <v>ID01</v>
      </c>
      <c r="B48" s="127" t="str">
        <f>'1. All Data'!C49</f>
        <v>Improve local democracy and consultation</v>
      </c>
      <c r="C48" s="128" t="str">
        <f>'1. All Data'!D49</f>
        <v>Hold regular engagement events with businesses throughout the year</v>
      </c>
      <c r="D48" s="124" t="str">
        <f>'1. All Data'!H49</f>
        <v>On Track to be Achieved</v>
      </c>
      <c r="E48" s="97"/>
      <c r="F48" s="125" t="str">
        <f>'1. All Data'!M49</f>
        <v>On Track to be Achieved</v>
      </c>
      <c r="G48" s="97"/>
      <c r="H48" s="126" t="str">
        <f>'1. All Data'!R49</f>
        <v>On Track to be Achieved</v>
      </c>
      <c r="I48" s="97"/>
      <c r="J48" s="126" t="str">
        <f>'1. All Data'!V49</f>
        <v>Fully Achieved</v>
      </c>
    </row>
    <row r="49" spans="1:47" ht="99.75" customHeight="1">
      <c r="A49" s="95" t="str">
        <f>'1. All Data'!B50</f>
        <v>PB08</v>
      </c>
      <c r="B49" s="127" t="str">
        <f>'1. All Data'!C50</f>
        <v>Standing up for communities</v>
      </c>
      <c r="C49" s="128" t="str">
        <f>'1. All Data'!D50</f>
        <v>Reshape the UK shared prosperity funding to focus more strongly on community needs</v>
      </c>
      <c r="D49" s="124" t="str">
        <f>'1. All Data'!H50</f>
        <v>On Track to be Achieved</v>
      </c>
      <c r="E49" s="97"/>
      <c r="F49" s="125" t="str">
        <f>'1. All Data'!M50</f>
        <v>Fully Achieved</v>
      </c>
      <c r="G49" s="97"/>
      <c r="H49" s="126" t="str">
        <f>'1. All Data'!R50</f>
        <v>Fully Achieved</v>
      </c>
      <c r="I49" s="97"/>
      <c r="J49" s="126" t="str">
        <f>'1. All Data'!V50</f>
        <v>Fully Achieved</v>
      </c>
    </row>
    <row r="50" spans="1:47" ht="99.75" customHeight="1">
      <c r="A50" s="95" t="str">
        <f>'1. All Data'!B51</f>
        <v>PB09</v>
      </c>
      <c r="B50" s="127" t="str">
        <f>'1. All Data'!C51</f>
        <v>Standing up for communities</v>
      </c>
      <c r="C50" s="128" t="str">
        <f>'1. All Data'!D51</f>
        <v>Approve the detail of UKSPF funding programmes</v>
      </c>
      <c r="D50" s="124" t="str">
        <f>'1. All Data'!H51</f>
        <v>Not Yet Due</v>
      </c>
      <c r="E50" s="97"/>
      <c r="F50" s="125" t="str">
        <f>'1. All Data'!M51</f>
        <v>Fully Achieved</v>
      </c>
      <c r="G50" s="105"/>
      <c r="H50" s="126" t="str">
        <f>'1. All Data'!R51</f>
        <v>Fully Achieved</v>
      </c>
      <c r="I50" s="105"/>
      <c r="J50" s="126" t="str">
        <f>'1. All Data'!V51</f>
        <v>Fully Achieved</v>
      </c>
    </row>
    <row r="51" spans="1:47" ht="99.75" customHeight="1">
      <c r="A51" s="95" t="str">
        <f>'1. All Data'!B52</f>
        <v>PH02</v>
      </c>
      <c r="B51" s="127" t="str">
        <f>'1. All Data'!C52</f>
        <v>Protecting our Heritage</v>
      </c>
      <c r="C51" s="128" t="str">
        <f>'1. All Data'!D52</f>
        <v>With the National Brewery Trust, create a timeline and plan to ensure historical archives from the closed NBC are re-housed in the future development</v>
      </c>
      <c r="D51" s="124" t="str">
        <f>'1. All Data'!H52</f>
        <v>On Track to be Achieved</v>
      </c>
      <c r="E51" s="96"/>
      <c r="F51" s="125" t="str">
        <f>'1. All Data'!M52</f>
        <v>Fully Achieved</v>
      </c>
      <c r="G51" s="97"/>
      <c r="H51" s="126" t="str">
        <f>'1. All Data'!R52</f>
        <v>Fully Achieved</v>
      </c>
      <c r="I51" s="97"/>
      <c r="J51" s="126" t="str">
        <f>'1. All Data'!V52</f>
        <v>Fully Achieved</v>
      </c>
    </row>
    <row r="52" spans="1:47" ht="99.75" customHeight="1">
      <c r="A52" s="95" t="str">
        <f>'1. All Data'!B53</f>
        <v>PH03</v>
      </c>
      <c r="B52" s="127" t="str">
        <f>'1. All Data'!C53</f>
        <v>Protecting our Heritage</v>
      </c>
      <c r="C52" s="128" t="str">
        <f>'1. All Data'!D53</f>
        <v>With the National Brewery Trust, contact owners of all former NBC artefacts to discuss their return to the future development</v>
      </c>
      <c r="D52" s="124" t="str">
        <f>'1. All Data'!H53</f>
        <v>On Track to be Achieved</v>
      </c>
      <c r="E52" s="96"/>
      <c r="F52" s="125" t="str">
        <f>'1. All Data'!M53</f>
        <v>Fully Achieved</v>
      </c>
      <c r="G52" s="97"/>
      <c r="H52" s="126" t="str">
        <f>'1. All Data'!R53</f>
        <v>Fully Achieved</v>
      </c>
      <c r="I52" s="97"/>
      <c r="J52" s="126" t="str">
        <f>'1. All Data'!V53</f>
        <v>Fully Achieved</v>
      </c>
    </row>
    <row r="53" spans="1:47" ht="99.75" customHeight="1">
      <c r="A53" s="95" t="str">
        <f>'1. All Data'!B56</f>
        <v>RAD02</v>
      </c>
      <c r="B53" s="127" t="str">
        <f>'1. All Data'!C56</f>
        <v>Deliver the Burton upon Trent High Street Regeneration Project</v>
      </c>
      <c r="C53" s="128" t="str">
        <f>'1. All Data'!D56</f>
        <v xml:space="preserve">Continue to work in partnership with the Heritage Working Group and other stakeholders to develop the museum and heritage centre proposals for the High Street </v>
      </c>
      <c r="D53" s="124" t="str">
        <f>'1. All Data'!H56</f>
        <v>Not Yet Due</v>
      </c>
      <c r="E53" s="97"/>
      <c r="F53" s="125" t="str">
        <f>'1. All Data'!M56</f>
        <v>Not Yet Due</v>
      </c>
      <c r="G53" s="97"/>
      <c r="H53" s="126" t="str">
        <f>'1. All Data'!R56</f>
        <v>On Track to be Achieved</v>
      </c>
      <c r="I53" s="97"/>
      <c r="J53" s="126" t="str">
        <f>'1. All Data'!V56</f>
        <v>Fully Achieved</v>
      </c>
    </row>
    <row r="54" spans="1:47" ht="87.75">
      <c r="A54" s="95" t="str">
        <f>'1. All Data'!B57</f>
        <v>RAD03</v>
      </c>
      <c r="B54" s="127" t="str">
        <f>'1. All Data'!C57</f>
        <v>Deliver the Burton upon Trent High Street Regeneration Project</v>
      </c>
      <c r="C54" s="128" t="str">
        <f>'1. All Data'!D57</f>
        <v xml:space="preserve">Work with partners to support the delivery of the three partner Towns Fund projects </v>
      </c>
      <c r="D54" s="124" t="str">
        <f>'1. All Data'!H57</f>
        <v>Not Yet Due</v>
      </c>
      <c r="E54" s="96"/>
      <c r="F54" s="125" t="str">
        <f>'1. All Data'!M57</f>
        <v>On Track to be Achieved</v>
      </c>
      <c r="G54" s="105"/>
      <c r="H54" s="126" t="str">
        <f>'1. All Data'!R57</f>
        <v>On Track to be Achieved</v>
      </c>
      <c r="I54" s="97"/>
      <c r="J54" s="126" t="str">
        <f>'1. All Data'!V57</f>
        <v>Fully Achieved</v>
      </c>
    </row>
    <row r="55" spans="1:47" ht="99.75" customHeight="1">
      <c r="A55" s="95" t="str">
        <f>'1. All Data'!B58</f>
        <v>RAD04</v>
      </c>
      <c r="B55" s="127" t="str">
        <f>'1. All Data'!C58</f>
        <v>Improve the Washlands as a regional attraction</v>
      </c>
      <c r="C55" s="128" t="str">
        <f>'1. All Data'!D58</f>
        <v>Appoint contractors to deliver Washlands Enhancement Project</v>
      </c>
      <c r="D55" s="124" t="str">
        <f>'1. All Data'!H58</f>
        <v>On Track to be Achieved</v>
      </c>
      <c r="E55" s="97"/>
      <c r="F55" s="125" t="str">
        <f>'1. All Data'!M58</f>
        <v>Fully Achieved</v>
      </c>
      <c r="G55" s="97"/>
      <c r="H55" s="126" t="str">
        <f>'1. All Data'!R58</f>
        <v>Fully Achieved</v>
      </c>
      <c r="I55" s="97"/>
      <c r="J55" s="126" t="str">
        <f>'1. All Data'!V58</f>
        <v>Fully Achieved</v>
      </c>
    </row>
    <row r="56" spans="1:47" ht="99.75" customHeight="1">
      <c r="A56" s="95" t="str">
        <f>'1. All Data'!B59</f>
        <v>RAD05</v>
      </c>
      <c r="B56" s="127" t="str">
        <f>'1. All Data'!C59</f>
        <v>Improve the Washlands as a regional attraction</v>
      </c>
      <c r="C56" s="128" t="str">
        <f>'1. All Data'!D59</f>
        <v xml:space="preserve">Submit planning application for a Washlands Visitor Centre </v>
      </c>
      <c r="D56" s="124" t="str">
        <f>'1. All Data'!H59</f>
        <v>In Danger of Falling Behind Target</v>
      </c>
      <c r="E56" s="97"/>
      <c r="F56" s="125" t="str">
        <f>'1. All Data'!M59</f>
        <v>Off Target</v>
      </c>
      <c r="G56" s="97"/>
      <c r="H56" s="126" t="str">
        <f>'1. All Data'!R59</f>
        <v>Off Target</v>
      </c>
      <c r="I56" s="97"/>
      <c r="J56" s="126" t="str">
        <f>'1. All Data'!V59</f>
        <v>Off Target</v>
      </c>
      <c r="AU56" s="98"/>
    </row>
    <row r="57" spans="1:47" s="111" customFormat="1" ht="87.75">
      <c r="A57" s="95" t="str">
        <f>'1. All Data'!B60</f>
        <v>RAD06</v>
      </c>
      <c r="B57" s="127" t="str">
        <f>'1. All Data'!C60</f>
        <v>Improve the Washlands as a regional attraction</v>
      </c>
      <c r="C57" s="128" t="str">
        <f>'1. All Data'!D60</f>
        <v xml:space="preserve">Commence the construction of the Washlands Visitor Centre (subject to planning) </v>
      </c>
      <c r="D57" s="124" t="str">
        <f>'1. All Data'!H60</f>
        <v>In Danger of Falling Behind Target</v>
      </c>
      <c r="E57" s="96"/>
      <c r="F57" s="125" t="str">
        <f>'1. All Data'!M60</f>
        <v>Deleted</v>
      </c>
      <c r="G57" s="97"/>
      <c r="H57" s="126" t="str">
        <f>'1. All Data'!R60</f>
        <v>Deleted</v>
      </c>
      <c r="I57" s="97"/>
      <c r="J57" s="126" t="str">
        <f>'1. All Data'!V60</f>
        <v>Deleted</v>
      </c>
      <c r="K57" s="106"/>
      <c r="L57" s="106"/>
      <c r="M57" s="106"/>
      <c r="N57" s="107"/>
      <c r="O57" s="107"/>
      <c r="P57" s="107"/>
      <c r="Q57" s="107"/>
      <c r="R57" s="107"/>
      <c r="S57" s="106"/>
      <c r="T57" s="106"/>
      <c r="U57" s="106"/>
      <c r="V57" s="106"/>
      <c r="W57" s="106"/>
      <c r="X57" s="108"/>
      <c r="Y57" s="108"/>
      <c r="Z57" s="108"/>
      <c r="AA57" s="108"/>
      <c r="AB57" s="109"/>
      <c r="AC57" s="94"/>
      <c r="AD57" s="110"/>
      <c r="AE57" s="110"/>
      <c r="AF57" s="110"/>
      <c r="AG57" s="110"/>
      <c r="AH57" s="110"/>
      <c r="AI57" s="110"/>
      <c r="AJ57" s="110"/>
      <c r="AK57" s="110"/>
      <c r="AL57" s="110"/>
      <c r="AM57" s="110"/>
      <c r="AN57" s="110"/>
      <c r="AO57" s="110"/>
      <c r="AP57" s="110"/>
      <c r="AQ57" s="110"/>
      <c r="AR57" s="110"/>
      <c r="AS57" s="110"/>
      <c r="AT57" s="110"/>
      <c r="AU57" s="110"/>
    </row>
    <row r="58" spans="1:47" ht="99.75" customHeight="1">
      <c r="A58" s="95" t="str">
        <f>'1. All Data'!B63</f>
        <v>RAD09</v>
      </c>
      <c r="B58" s="127" t="str">
        <f>'1. All Data'!C63</f>
        <v>Take forward regeneration in Uttoxeter</v>
      </c>
      <c r="C58" s="128" t="str">
        <f>'1. All Data'!D63</f>
        <v>Agree purchase of Uttoxeter former Co-op building</v>
      </c>
      <c r="D58" s="124" t="str">
        <f>'1. All Data'!H63</f>
        <v>On Track to be Achieved</v>
      </c>
      <c r="E58" s="97"/>
      <c r="F58" s="125" t="str">
        <f>'1. All Data'!M63</f>
        <v>Fully Achieved</v>
      </c>
      <c r="G58" s="97"/>
      <c r="H58" s="126" t="str">
        <f>'1. All Data'!R63</f>
        <v>Fully Achieved</v>
      </c>
      <c r="I58" s="97"/>
      <c r="J58" s="126" t="str">
        <f>'1. All Data'!V63</f>
        <v>Fully Achieved</v>
      </c>
    </row>
    <row r="59" spans="1:47" ht="99.75" customHeight="1">
      <c r="A59" s="95" t="str">
        <f>'1. All Data'!B64</f>
        <v>RAD10</v>
      </c>
      <c r="B59" s="127" t="str">
        <f>'1. All Data'!C64</f>
        <v>Take forward regeneration in Uttoxeter</v>
      </c>
      <c r="C59" s="128" t="str">
        <f>'1. All Data'!D64</f>
        <v>Consider the best approach to acquiring the remainder of the Maltings precinct and review proposals to regenerate the Maltings area</v>
      </c>
      <c r="D59" s="124" t="str">
        <f>'1. All Data'!H64</f>
        <v>Not Yet Due</v>
      </c>
      <c r="E59" s="96"/>
      <c r="F59" s="125" t="str">
        <f>'1. All Data'!M64</f>
        <v>Fully Achieved</v>
      </c>
      <c r="G59" s="97"/>
      <c r="H59" s="126" t="str">
        <f>'1. All Data'!R64</f>
        <v>Fully Achieved</v>
      </c>
      <c r="I59" s="97"/>
      <c r="J59" s="126" t="str">
        <f>'1. All Data'!V64</f>
        <v>Fully Achieved</v>
      </c>
    </row>
    <row r="60" spans="1:47" ht="99.75" customHeight="1">
      <c r="A60" s="95" t="str">
        <f>'1. All Data'!B65</f>
        <v>RAD11</v>
      </c>
      <c r="B60" s="127" t="str">
        <f>'1. All Data'!C65</f>
        <v>Support economic growth in East Staffordshire</v>
      </c>
      <c r="C60" s="128" t="str">
        <f>'1. All Data'!D65</f>
        <v>Launch and administer a business grant programme</v>
      </c>
      <c r="D60" s="124" t="str">
        <f>'1. All Data'!H65</f>
        <v>On Track to be Achieved</v>
      </c>
      <c r="E60" s="97"/>
      <c r="F60" s="125" t="str">
        <f>'1. All Data'!M65</f>
        <v>On Track to be Achieved</v>
      </c>
      <c r="G60" s="112"/>
      <c r="H60" s="126" t="str">
        <f>'1. All Data'!R65</f>
        <v>On Track to be Achieved</v>
      </c>
      <c r="I60" s="112"/>
      <c r="J60" s="126" t="str">
        <f>'1. All Data'!V65</f>
        <v>Fully Achieved</v>
      </c>
    </row>
    <row r="61" spans="1:47" s="116" customFormat="1" ht="69.75" customHeight="1">
      <c r="A61" s="95" t="str">
        <f>'1. All Data'!B69</f>
        <v>GD02</v>
      </c>
      <c r="B61" s="127" t="str">
        <f>'1. All Data'!C69</f>
        <v>Tackling Envirocrime</v>
      </c>
      <c r="C61" s="128" t="str">
        <f>'1. All Data'!D69</f>
        <v>Increase levels of action taken against anti-social behaviour by reviewing the performance of mobile CCTV provision and seeking to achieve a 20% increase in the number of deployments (from 22)</v>
      </c>
      <c r="D61" s="124" t="str">
        <f>'1. All Data'!H69</f>
        <v>On Track to be Achieved</v>
      </c>
      <c r="E61" s="96"/>
      <c r="F61" s="125" t="str">
        <f>'1. All Data'!M69</f>
        <v>On Track to be Achieved</v>
      </c>
      <c r="G61" s="114"/>
      <c r="H61" s="126" t="str">
        <f>'1. All Data'!R69</f>
        <v>On Track to be Achieved</v>
      </c>
      <c r="I61" s="114"/>
      <c r="J61" s="126" t="str">
        <f>'1. All Data'!V69</f>
        <v>Fully Achieved</v>
      </c>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row>
    <row r="62" spans="1:47" ht="99.75" customHeight="1">
      <c r="A62" s="95" t="str">
        <f>'1. All Data'!B70</f>
        <v>GD03</v>
      </c>
      <c r="B62" s="127" t="str">
        <f>'1. All Data'!C70</f>
        <v>Tackling Envirocrime</v>
      </c>
      <c r="C62" s="128" t="str">
        <f>'1. All Data'!D70</f>
        <v>Increase levels of action taken against anti-social behaviour through undertaking 4 initiatives to address fly tipping under the 'Tackle the Tippers' campaign</v>
      </c>
      <c r="D62" s="124" t="str">
        <f>'1. All Data'!H70</f>
        <v>On Track to be Achieved</v>
      </c>
      <c r="E62" s="97"/>
      <c r="F62" s="125" t="str">
        <f>'1. All Data'!M70</f>
        <v>On Track to be Achieved</v>
      </c>
      <c r="G62" s="97"/>
      <c r="H62" s="126" t="str">
        <f>'1. All Data'!R70</f>
        <v>On Track to be Achieved</v>
      </c>
      <c r="I62" s="97"/>
      <c r="J62" s="126" t="str">
        <f>'1. All Data'!V70</f>
        <v>Fully Achieved</v>
      </c>
    </row>
    <row r="63" spans="1:47" ht="99.75" customHeight="1">
      <c r="A63" s="95" t="str">
        <f>'1. All Data'!B71</f>
        <v>SC04</v>
      </c>
      <c r="B63" s="127" t="str">
        <f>'1. All Data'!C71</f>
        <v>Backing our Taxi Drivers</v>
      </c>
      <c r="C63" s="128" t="str">
        <f>'1. All Data'!D71</f>
        <v>Review Licensing policy with the trade and ensure drivers are supported in the transition to Euro 6 emission standards</v>
      </c>
      <c r="D63" s="124" t="str">
        <f>'1. All Data'!H71</f>
        <v>On Track to be Achieved</v>
      </c>
      <c r="E63" s="97"/>
      <c r="F63" s="125" t="str">
        <f>'1. All Data'!M71</f>
        <v>On Track to be Achieved</v>
      </c>
      <c r="G63" s="97"/>
      <c r="H63" s="126" t="str">
        <f>'1. All Data'!R71</f>
        <v>Fully Achieved</v>
      </c>
      <c r="I63" s="97"/>
      <c r="J63" s="126" t="str">
        <f>'1. All Data'!V71</f>
        <v>Fully Achieved</v>
      </c>
    </row>
    <row r="64" spans="1:47" ht="99.75" customHeight="1">
      <c r="A64" s="95" t="str">
        <f>'1. All Data'!B72</f>
        <v>CRS01</v>
      </c>
      <c r="B64" s="127" t="str">
        <f>'1. All Data'!C72</f>
        <v>Licensing and Enforcement Activities-CCTV</v>
      </c>
      <c r="C64" s="128" t="str">
        <f>'1. All Data'!D72</f>
        <v>Complete roll out/ installation of fixed CCTV cameras</v>
      </c>
      <c r="D64" s="124" t="str">
        <f>'1. All Data'!H72</f>
        <v>In Danger of Falling Behind Target</v>
      </c>
      <c r="E64" s="97"/>
      <c r="F64" s="125" t="str">
        <f>'1. All Data'!M72</f>
        <v>Off Target</v>
      </c>
      <c r="G64" s="97"/>
      <c r="H64" s="126" t="str">
        <f>'1. All Data'!R72</f>
        <v>Off Target</v>
      </c>
      <c r="I64" s="97"/>
      <c r="J64" s="126" t="str">
        <f>'1. All Data'!V72</f>
        <v>Off Target</v>
      </c>
    </row>
    <row r="65" spans="1:10" ht="99.75" customHeight="1">
      <c r="A65" s="95" t="str">
        <f>'1. All Data'!B73</f>
        <v>PB06a</v>
      </c>
      <c r="B65" s="127" t="str">
        <f>'1. All Data'!C73</f>
        <v>Building a Fairer Local Economy</v>
      </c>
      <c r="C65" s="128" t="str">
        <f>'1. All Data'!D73</f>
        <v>Produce a route map to insourcing council services that are currently outsourced</v>
      </c>
      <c r="D65" s="124" t="str">
        <f>'1. All Data'!H73</f>
        <v>Not Yet Due</v>
      </c>
      <c r="E65" s="97"/>
      <c r="F65" s="125" t="str">
        <f>'1. All Data'!M73</f>
        <v>On Track to be Achieved</v>
      </c>
      <c r="G65" s="97"/>
      <c r="H65" s="126" t="str">
        <f>'1. All Data'!R73</f>
        <v>Fully Achieved</v>
      </c>
      <c r="I65" s="97"/>
      <c r="J65" s="126" t="str">
        <f>'1. All Data'!V73</f>
        <v>Fully Achieved</v>
      </c>
    </row>
    <row r="66" spans="1:10" ht="99.75" customHeight="1">
      <c r="A66" s="95" t="str">
        <f>'1. All Data'!B74</f>
        <v>GD08</v>
      </c>
      <c r="B66" s="127" t="str">
        <f>'1. All Data'!C74</f>
        <v>A Green New Deal for East Staffordshire</v>
      </c>
      <c r="C66" s="128" t="str">
        <f>'1. All Data'!D74</f>
        <v>Find opportunities to use vertical and rooftop spaces to plant new gardens</v>
      </c>
      <c r="D66" s="124" t="str">
        <f>'1. All Data'!H74</f>
        <v>Not Yet Due</v>
      </c>
      <c r="E66" s="97"/>
      <c r="F66" s="125" t="str">
        <f>'1. All Data'!M74</f>
        <v>On Track to be Achieved</v>
      </c>
      <c r="G66" s="97"/>
      <c r="H66" s="126" t="str">
        <f>'1. All Data'!R74</f>
        <v>Fully Achieved</v>
      </c>
      <c r="I66" s="97"/>
      <c r="J66" s="126" t="str">
        <f>'1. All Data'!V74</f>
        <v>Fully Achieved</v>
      </c>
    </row>
    <row r="67" spans="1:10" ht="99.75" customHeight="1">
      <c r="A67" s="95" t="str">
        <f>'1. All Data'!B75</f>
        <v>GD09</v>
      </c>
      <c r="B67" s="127" t="str">
        <f>'1. All Data'!C75</f>
        <v>A Green New Deal for East Staffordshire</v>
      </c>
      <c r="C67" s="128" t="str">
        <f>'1. All Data'!D75</f>
        <v>Find opportunities and create a network of community orchards and wildlife corridors</v>
      </c>
      <c r="D67" s="124" t="str">
        <f>'1. All Data'!H75</f>
        <v>Not Yet Due</v>
      </c>
      <c r="E67" s="97"/>
      <c r="F67" s="125" t="str">
        <f>'1. All Data'!M75</f>
        <v>On Track to be Achieved</v>
      </c>
      <c r="G67" s="97"/>
      <c r="H67" s="126" t="str">
        <f>'1. All Data'!R75</f>
        <v>Fully Achieved</v>
      </c>
      <c r="I67" s="97"/>
      <c r="J67" s="126" t="str">
        <f>'1. All Data'!V75</f>
        <v>Fully Achieved</v>
      </c>
    </row>
    <row r="68" spans="1:10" ht="99.75" customHeight="1">
      <c r="A68" s="95" t="str">
        <f>'1. All Data'!B76</f>
        <v>PH01</v>
      </c>
      <c r="B68" s="127" t="str">
        <f>'1. All Data'!C76</f>
        <v>Protecting our Heritage</v>
      </c>
      <c r="C68" s="128" t="str">
        <f>'1. All Data'!D76</f>
        <v>Consider creating a model of co-operative ownership of Burton Market Hall, with six monthly reporting</v>
      </c>
      <c r="D68" s="124" t="str">
        <f>'1. All Data'!H76</f>
        <v>Not Yet Due</v>
      </c>
      <c r="E68" s="97"/>
      <c r="F68" s="125" t="str">
        <f>'1. All Data'!M76</f>
        <v>Deleted</v>
      </c>
      <c r="G68" s="97"/>
      <c r="H68" s="126" t="str">
        <f>'1. All Data'!R76</f>
        <v>Deleted</v>
      </c>
      <c r="I68" s="97"/>
      <c r="J68" s="126" t="str">
        <f>'1. All Data'!V76</f>
        <v>Deleted</v>
      </c>
    </row>
    <row r="69" spans="1:10" ht="99.75" customHeight="1">
      <c r="A69" s="95" t="str">
        <f>'1. All Data'!B77</f>
        <v>CRS03</v>
      </c>
      <c r="B69" s="127" t="str">
        <f>'1. All Data'!C77</f>
        <v>Supporting local communities</v>
      </c>
      <c r="C69" s="128" t="str">
        <f>'1. All Data'!D77</f>
        <v>Commence a Community Lottery providing funding opportunities for the local community and voluntary sector</v>
      </c>
      <c r="D69" s="124" t="str">
        <f>'1. All Data'!H77</f>
        <v>Fully Achieved</v>
      </c>
      <c r="E69" s="97"/>
      <c r="F69" s="125" t="str">
        <f>'1. All Data'!M77</f>
        <v>Fully Achieved</v>
      </c>
      <c r="G69" s="105"/>
      <c r="H69" s="126" t="str">
        <f>'1. All Data'!R77</f>
        <v>Fully Achieved</v>
      </c>
      <c r="I69" s="105"/>
      <c r="J69" s="126" t="str">
        <f>'1. All Data'!V77</f>
        <v>Fully Achieved</v>
      </c>
    </row>
    <row r="70" spans="1:10" ht="99.75" customHeight="1">
      <c r="A70" s="95" t="str">
        <f>'1. All Data'!B78</f>
        <v>CRS04</v>
      </c>
      <c r="B70" s="127" t="str">
        <f>'1. All Data'!C78</f>
        <v>Supporting local communities</v>
      </c>
      <c r="C70" s="128" t="str">
        <f>'1. All Data'!D78</f>
        <v>Deliver a community grant scheme to help enhance local areas</v>
      </c>
      <c r="D70" s="124" t="str">
        <f>'1. All Data'!H78</f>
        <v>On Track to be Achieved</v>
      </c>
      <c r="E70" s="97"/>
      <c r="F70" s="125" t="str">
        <f>'1. All Data'!M78</f>
        <v>Fully Achieved</v>
      </c>
      <c r="G70" s="105"/>
      <c r="H70" s="126" t="str">
        <f>'1. All Data'!R78</f>
        <v>Fully Achieved</v>
      </c>
      <c r="I70" s="105"/>
      <c r="J70" s="126" t="str">
        <f>'1. All Data'!V78</f>
        <v>Fully Achieved</v>
      </c>
    </row>
    <row r="71" spans="1:10" ht="99.75" customHeight="1">
      <c r="A71" s="95" t="str">
        <f>'1. All Data'!B79</f>
        <v>CRS05</v>
      </c>
      <c r="B71" s="127" t="str">
        <f>'1. All Data'!C79</f>
        <v>Supporting local communities</v>
      </c>
      <c r="C71" s="128" t="str">
        <f>'1. All Data'!D79</f>
        <v>Relaunch the Councillors Community Fund</v>
      </c>
      <c r="D71" s="124" t="str">
        <f>'1. All Data'!H79</f>
        <v>Fully Achieved</v>
      </c>
      <c r="E71" s="97"/>
      <c r="F71" s="125" t="str">
        <f>'1. All Data'!M79</f>
        <v>Fully Achieved</v>
      </c>
      <c r="G71" s="105"/>
      <c r="H71" s="126" t="str">
        <f>'1. All Data'!R79</f>
        <v>Fully Achieved</v>
      </c>
      <c r="I71" s="105"/>
      <c r="J71" s="126" t="str">
        <f>'1. All Data'!V79</f>
        <v>Fully Achieved</v>
      </c>
    </row>
    <row r="72" spans="1:10" ht="99.75" customHeight="1">
      <c r="A72" s="95" t="str">
        <f>'1. All Data'!B80</f>
        <v>ECC04</v>
      </c>
      <c r="B72" s="127" t="str">
        <f>'1. All Data'!C80</f>
        <v>Climate Change Initiatives</v>
      </c>
      <c r="C72" s="128" t="str">
        <f>'1. All Data'!D80</f>
        <v>Work in partnership with external organisations to develop 4 Carbon Capture and Biodiversity areas across the Borough</v>
      </c>
      <c r="D72" s="124" t="str">
        <f>'1. All Data'!H80</f>
        <v>Not Yet Due</v>
      </c>
      <c r="E72" s="96"/>
      <c r="F72" s="125" t="str">
        <f>'1. All Data'!M80</f>
        <v>On Track to be Achieved</v>
      </c>
      <c r="G72" s="97"/>
      <c r="H72" s="126" t="str">
        <f>'1. All Data'!R80</f>
        <v>Fully Achieved</v>
      </c>
      <c r="I72" s="97"/>
      <c r="J72" s="126" t="str">
        <f>'1. All Data'!V80</f>
        <v>Fully Achieved</v>
      </c>
    </row>
    <row r="73" spans="1:10" ht="99.75" customHeight="1">
      <c r="A73" s="95" t="str">
        <f>'1. All Data'!B81</f>
        <v>ECC06</v>
      </c>
      <c r="B73" s="127" t="str">
        <f>'1. All Data'!C81</f>
        <v>Climate Change Initiatives</v>
      </c>
      <c r="C73" s="128" t="str">
        <f>'1. All Data'!D81</f>
        <v>Deliver Borough wide entries for the ‘It’s Your Neighbourhood Park’ awards and maintain the results at 12 Gold Awards and 10 Silver Gilts</v>
      </c>
      <c r="D73" s="124" t="str">
        <f>'1. All Data'!H81</f>
        <v>Not Yet Due</v>
      </c>
      <c r="E73" s="97"/>
      <c r="F73" s="125" t="str">
        <f>'1. All Data'!M81</f>
        <v>Fully Achieved</v>
      </c>
      <c r="G73" s="97"/>
      <c r="H73" s="126" t="str">
        <f>'1. All Data'!R81</f>
        <v>Fully Achieved</v>
      </c>
      <c r="I73" s="97"/>
      <c r="J73" s="126" t="str">
        <f>'1. All Data'!V81</f>
        <v>Fully Achieved</v>
      </c>
    </row>
    <row r="74" spans="1:10" ht="99.75" customHeight="1">
      <c r="A74" s="95" t="str">
        <f>'1. All Data'!B83</f>
        <v>ECC08</v>
      </c>
      <c r="B74" s="127" t="str">
        <f>'1. All Data'!C83</f>
        <v>Climate Change Initiatives</v>
      </c>
      <c r="C74" s="128" t="str">
        <f>'1. All Data'!D83</f>
        <v>Deliver the In Bloom awards and sustain the number of Gold awards at a minimum of 3, across all categories</v>
      </c>
      <c r="D74" s="124" t="str">
        <f>'1. All Data'!H83</f>
        <v>Not Yet Due</v>
      </c>
      <c r="E74" s="97"/>
      <c r="F74" s="125" t="str">
        <f>'1. All Data'!M83</f>
        <v>Fully Achieved</v>
      </c>
      <c r="G74" s="105"/>
      <c r="H74" s="126" t="str">
        <f>'1. All Data'!R83</f>
        <v>Fully Achieved</v>
      </c>
      <c r="I74" s="97"/>
      <c r="J74" s="126" t="str">
        <f>'1. All Data'!V83</f>
        <v>Fully Achieved</v>
      </c>
    </row>
    <row r="75" spans="1:10" ht="99.75" customHeight="1">
      <c r="A75" s="95" t="str">
        <f>'1. All Data'!B86</f>
        <v>ECC11</v>
      </c>
      <c r="B75" s="127" t="str">
        <f>'1. All Data'!C86</f>
        <v>Open Spaces initiatives</v>
      </c>
      <c r="C75" s="128" t="str">
        <f>'1. All Data'!D86</f>
        <v>Increase the number of volunteering opportunities from 3 to 6 per week at both the Horticulture Centre and/or Go Garden</v>
      </c>
      <c r="D75" s="124" t="str">
        <f>'1. All Data'!H86</f>
        <v>On Track to be Achieved</v>
      </c>
      <c r="E75" s="97"/>
      <c r="F75" s="125" t="str">
        <f>'1. All Data'!M86</f>
        <v>On Track to be Achieved</v>
      </c>
      <c r="G75" s="97"/>
      <c r="H75" s="126" t="str">
        <f>'1. All Data'!R86</f>
        <v>Fully Achieved</v>
      </c>
      <c r="I75" s="97"/>
      <c r="J75" s="126" t="str">
        <f>'1. All Data'!V86</f>
        <v>Fully Achieved</v>
      </c>
    </row>
    <row r="76" spans="1:10" ht="99.75" customHeight="1">
      <c r="A76" s="95" t="str">
        <f>'1. All Data'!B89</f>
        <v>TCD01</v>
      </c>
      <c r="B76" s="127" t="str">
        <f>'1. All Data'!C89</f>
        <v>Market Hall Development</v>
      </c>
      <c r="C76" s="128" t="str">
        <f>'1. All Data'!D89</f>
        <v>Consider the outcome of an independent HM Treasury Green Book compliant business case assessment on future options for the Market Hall</v>
      </c>
      <c r="D76" s="124" t="str">
        <f>'1. All Data'!H89</f>
        <v>On Track to be Achieved</v>
      </c>
      <c r="E76" s="97"/>
      <c r="F76" s="125" t="str">
        <f>'1. All Data'!M89</f>
        <v>Fully Achieved</v>
      </c>
      <c r="G76" s="97"/>
      <c r="H76" s="126" t="str">
        <f>'1. All Data'!R89</f>
        <v>Fully Achieved</v>
      </c>
      <c r="I76" s="97"/>
      <c r="J76" s="126" t="str">
        <f>'1. All Data'!V89</f>
        <v>Fully Achieved</v>
      </c>
    </row>
    <row r="77" spans="1:10" ht="162">
      <c r="A77" s="95" t="str">
        <f>'1. All Data'!B90</f>
        <v>PB07</v>
      </c>
      <c r="B77" s="127" t="str">
        <f>'1. All Data'!C90</f>
        <v>Housing and Planning</v>
      </c>
      <c r="C77" s="128" t="str">
        <f>'1. All Data'!D90</f>
        <v>Review and consider improvements for making Section 106 funding process more open and transparent, via the ESBC website and Member Intranet; and consider policy changes to ESBC's s106 approach</v>
      </c>
      <c r="D77" s="124" t="str">
        <f>'1. All Data'!H90</f>
        <v>On Track to be Achieved</v>
      </c>
      <c r="E77" s="96"/>
      <c r="F77" s="125" t="str">
        <f>'1. All Data'!M90</f>
        <v>On Track to be Achieved</v>
      </c>
      <c r="G77" s="97"/>
      <c r="H77" s="126" t="str">
        <f>'1. All Data'!R90</f>
        <v>Fully Achieved</v>
      </c>
      <c r="I77" s="97"/>
      <c r="J77" s="126" t="str">
        <f>'1. All Data'!V90</f>
        <v>Fully Achieved</v>
      </c>
    </row>
    <row r="78" spans="1:10" ht="99.75" customHeight="1">
      <c r="A78" s="95" t="str">
        <f>'1. All Data'!B93</f>
        <v>RAD18a</v>
      </c>
      <c r="B78" s="127" t="str">
        <f>'1. All Data'!C93</f>
        <v>Keeping Members informed on Planning Matters</v>
      </c>
      <c r="C78" s="128" t="str">
        <f>'1. All Data'!D93</f>
        <v>9 x Planning Committee Member training sessions</v>
      </c>
      <c r="D78" s="124" t="str">
        <f>'1. All Data'!H93</f>
        <v>On Track to be Achieved</v>
      </c>
      <c r="E78" s="96"/>
      <c r="F78" s="125" t="str">
        <f>'1. All Data'!M93</f>
        <v>On Track to be Achieved</v>
      </c>
      <c r="G78" s="104"/>
      <c r="H78" s="126" t="str">
        <f>'1. All Data'!R93</f>
        <v>Fully Achieved</v>
      </c>
      <c r="I78" s="104"/>
      <c r="J78" s="126" t="str">
        <f>'1. All Data'!V93</f>
        <v>Fully Achieved</v>
      </c>
    </row>
    <row r="79" spans="1:10" ht="99.75" customHeight="1">
      <c r="A79" s="95" t="str">
        <f>'1. All Data'!B94</f>
        <v>RAD18b</v>
      </c>
      <c r="B79" s="127" t="str">
        <f>'1. All Data'!C94</f>
        <v>Keeping Members informed on Planning Matters</v>
      </c>
      <c r="C79" s="128" t="str">
        <f>'1. All Data'!D94</f>
        <v>2 x All Member briefing sessions</v>
      </c>
      <c r="D79" s="124" t="str">
        <f>'1. All Data'!H94</f>
        <v>Not Yet Due</v>
      </c>
      <c r="E79" s="96"/>
      <c r="F79" s="125" t="str">
        <f>'1. All Data'!M94</f>
        <v>Not Yet Due</v>
      </c>
      <c r="G79" s="97"/>
      <c r="H79" s="126" t="str">
        <f>'1. All Data'!R94</f>
        <v>On Track to be Achieved</v>
      </c>
      <c r="I79" s="97"/>
      <c r="J79" s="126" t="str">
        <f>'1. All Data'!V94</f>
        <v>Fully Achieved</v>
      </c>
    </row>
    <row r="80" spans="1:10" ht="99.75" customHeight="1">
      <c r="A80" s="95" t="str">
        <f>'1. All Data'!B95</f>
        <v>RAD19</v>
      </c>
      <c r="B80" s="127" t="str">
        <f>'1. All Data'!C95</f>
        <v>Monitor Performance of the Local Plan</v>
      </c>
      <c r="C80" s="128" t="str">
        <f>'1. All Data'!D95</f>
        <v>Complete the annual review of the Local Plan</v>
      </c>
      <c r="D80" s="124" t="str">
        <f>'1. All Data'!H95</f>
        <v>On Track to be Achieved</v>
      </c>
      <c r="E80" s="97"/>
      <c r="F80" s="125" t="str">
        <f>'1. All Data'!M95</f>
        <v>On Track to be Achieved</v>
      </c>
      <c r="G80" s="97"/>
      <c r="H80" s="126" t="str">
        <f>'1. All Data'!R95</f>
        <v>Fully Achieved</v>
      </c>
      <c r="I80" s="97"/>
      <c r="J80" s="126" t="str">
        <f>'1. All Data'!V95</f>
        <v>Fully Achieved</v>
      </c>
    </row>
    <row r="81" spans="1:46" ht="99.75" customHeight="1">
      <c r="A81" s="95" t="str">
        <f>'1. All Data'!B96</f>
        <v>TCD02</v>
      </c>
      <c r="B81" s="127" t="str">
        <f>'1. All Data'!C96</f>
        <v>Developing Tourism within the Borough</v>
      </c>
      <c r="C81" s="128" t="str">
        <f>'1. All Data'!D96</f>
        <v>Launch a grant scheme to support local Tourism businesses to develop projects and activity</v>
      </c>
      <c r="D81" s="124" t="str">
        <f>'1. All Data'!H96</f>
        <v>Fully Achieved</v>
      </c>
      <c r="E81" s="97"/>
      <c r="F81" s="125" t="str">
        <f>'1. All Data'!M96</f>
        <v>Fully Achieved</v>
      </c>
      <c r="G81" s="97"/>
      <c r="H81" s="126" t="str">
        <f>'1. All Data'!R96</f>
        <v>Fully Achieved</v>
      </c>
      <c r="I81" s="97"/>
      <c r="J81" s="126" t="str">
        <f>'1. All Data'!V96</f>
        <v>Fully Achieved</v>
      </c>
    </row>
    <row r="82" spans="1:46" s="111" customFormat="1" ht="87.75">
      <c r="A82" s="95" t="str">
        <f>'1. All Data'!B97</f>
        <v>TCD03</v>
      </c>
      <c r="B82" s="127" t="str">
        <f>'1. All Data'!C97</f>
        <v>Developing Tourism within the Borough</v>
      </c>
      <c r="C82" s="128" t="str">
        <f>'1. All Data'!D97</f>
        <v xml:space="preserve">Develop a Tourism framework and Strategic Plan </v>
      </c>
      <c r="D82" s="124" t="str">
        <f>'1. All Data'!H97</f>
        <v>On Track to be Achieved</v>
      </c>
      <c r="E82" s="96"/>
      <c r="F82" s="125" t="str">
        <f>'1. All Data'!M97</f>
        <v>On Track to be Achieved</v>
      </c>
      <c r="G82" s="97"/>
      <c r="H82" s="126" t="str">
        <f>'1. All Data'!R97</f>
        <v>Fully Achieved</v>
      </c>
      <c r="I82" s="97"/>
      <c r="J82" s="126" t="str">
        <f>'1. All Data'!V97</f>
        <v>Fully Achieved</v>
      </c>
      <c r="K82" s="117"/>
      <c r="L82" s="117"/>
      <c r="M82" s="118"/>
      <c r="N82" s="119"/>
      <c r="O82" s="119"/>
      <c r="P82" s="119"/>
      <c r="Q82" s="119"/>
      <c r="R82" s="118"/>
      <c r="S82" s="117"/>
      <c r="T82" s="117"/>
      <c r="U82" s="117"/>
      <c r="V82" s="120"/>
      <c r="W82" s="117"/>
      <c r="X82" s="118"/>
      <c r="Y82" s="118"/>
      <c r="Z82" s="118"/>
      <c r="AA82" s="118"/>
      <c r="AB82" s="109"/>
      <c r="AC82" s="94"/>
      <c r="AD82" s="110"/>
      <c r="AE82" s="110"/>
      <c r="AF82" s="110"/>
      <c r="AG82" s="110"/>
      <c r="AH82" s="110"/>
      <c r="AI82" s="110"/>
      <c r="AJ82" s="110"/>
      <c r="AK82" s="110"/>
      <c r="AL82" s="110"/>
      <c r="AM82" s="110"/>
      <c r="AN82" s="110"/>
      <c r="AO82" s="110"/>
      <c r="AP82" s="110"/>
      <c r="AQ82" s="110"/>
      <c r="AR82" s="110"/>
      <c r="AS82" s="110"/>
      <c r="AT82" s="110"/>
    </row>
    <row r="83" spans="1:46" s="116" customFormat="1" ht="103.5" customHeight="1">
      <c r="A83" s="95" t="str">
        <f>'1. All Data'!B98</f>
        <v>TCD04</v>
      </c>
      <c r="B83" s="127" t="str">
        <f>'1. All Data'!C98</f>
        <v>Developing Tourism within the Borough</v>
      </c>
      <c r="C83" s="128" t="str">
        <f>'1. All Data'!D98</f>
        <v>Deliver and baseline footfall for a range of tourism events throughout the year</v>
      </c>
      <c r="D83" s="124" t="str">
        <f>'1. All Data'!H98</f>
        <v>On Track to be Achieved</v>
      </c>
      <c r="E83" s="97"/>
      <c r="F83" s="125" t="str">
        <f>'1. All Data'!M98</f>
        <v>On Track to be Achieved</v>
      </c>
      <c r="G83" s="121"/>
      <c r="H83" s="126" t="str">
        <f>'1. All Data'!R98</f>
        <v>On Track to be Achieved</v>
      </c>
      <c r="I83" s="121"/>
      <c r="J83" s="126" t="str">
        <f>'1. All Data'!V98</f>
        <v>Fully Achieved</v>
      </c>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5"/>
      <c r="AL83" s="115"/>
      <c r="AM83" s="115"/>
      <c r="AN83" s="115"/>
      <c r="AO83" s="115"/>
      <c r="AP83" s="115"/>
      <c r="AQ83" s="115"/>
      <c r="AR83" s="115"/>
      <c r="AS83" s="115"/>
      <c r="AT83" s="115"/>
    </row>
    <row r="84" spans="1:46" ht="99.75" customHeight="1">
      <c r="A84" s="95" t="str">
        <f>'1. All Data'!B99</f>
        <v>TCD05</v>
      </c>
      <c r="B84" s="127" t="str">
        <f>'1. All Data'!C99</f>
        <v>Developing Tourism within the Borough</v>
      </c>
      <c r="C84" s="128" t="str">
        <f>'1. All Data'!D99</f>
        <v>Complete review of way marking around Burton town centre</v>
      </c>
      <c r="D84" s="124" t="str">
        <f>'1. All Data'!H99</f>
        <v>Not Yet Due</v>
      </c>
      <c r="E84" s="96"/>
      <c r="F84" s="125" t="str">
        <f>'1. All Data'!M99</f>
        <v>On Track to be Achieved</v>
      </c>
      <c r="G84" s="97"/>
      <c r="H84" s="126" t="str">
        <f>'1. All Data'!R99</f>
        <v>On Track to be Achieved</v>
      </c>
      <c r="I84" s="97"/>
      <c r="J84" s="126" t="str">
        <f>'1. All Data'!V99</f>
        <v>Fully Achieved</v>
      </c>
    </row>
    <row r="85" spans="1:46" ht="99.75" customHeight="1">
      <c r="A85" s="95" t="str">
        <f>'1. All Data'!B100</f>
        <v>TCD09b</v>
      </c>
      <c r="B85" s="127" t="str">
        <f>'1. All Data'!C100</f>
        <v>Improve awareness of Council Services, venues and initiatives</v>
      </c>
      <c r="C85" s="128" t="str">
        <f>'1. All Data'!D100</f>
        <v>Develop a new, revised website for the Brewhouse, Arts and Civic Function Suite</v>
      </c>
      <c r="D85" s="124" t="str">
        <f>'1. All Data'!H100</f>
        <v>On Track to be Achieved</v>
      </c>
      <c r="E85" s="96"/>
      <c r="F85" s="125" t="str">
        <f>'1. All Data'!M100</f>
        <v>On Track to be Achieved</v>
      </c>
      <c r="G85" s="97"/>
      <c r="H85" s="126" t="str">
        <f>'1. All Data'!R100</f>
        <v>Fully Achieved</v>
      </c>
      <c r="I85" s="97"/>
      <c r="J85" s="126" t="str">
        <f>'1. All Data'!V100</f>
        <v>Fully Achieved</v>
      </c>
    </row>
    <row r="86" spans="1:46" ht="99.75" customHeight="1">
      <c r="A86" s="95" t="str">
        <f>'1. All Data'!B101</f>
        <v>TCD06</v>
      </c>
      <c r="B86" s="127" t="str">
        <f>'1. All Data'!C101</f>
        <v>Brewhouse and Town Hall Service</v>
      </c>
      <c r="C86" s="128" t="str">
        <f>'1. All Data'!D101</f>
        <v>As part of a project aimed at shaping a new music-led narrative for Burton we will deliver 6 pop-up live events and 2 workshops</v>
      </c>
      <c r="D86" s="124" t="str">
        <f>'1. All Data'!H101</f>
        <v>On Track to be Achieved</v>
      </c>
      <c r="E86" s="96"/>
      <c r="F86" s="125" t="str">
        <f>'1. All Data'!M101</f>
        <v>On Track to be Achieved</v>
      </c>
      <c r="G86" s="105"/>
      <c r="H86" s="126" t="str">
        <f>'1. All Data'!R101</f>
        <v>Fully Achieved</v>
      </c>
      <c r="I86" s="97"/>
      <c r="J86" s="126" t="str">
        <f>'1. All Data'!V101</f>
        <v>Fully Achieved</v>
      </c>
    </row>
    <row r="87" spans="1:46" ht="99.75" customHeight="1">
      <c r="A87" s="95" t="str">
        <f>'1. All Data'!B102</f>
        <v>TCD07</v>
      </c>
      <c r="B87" s="127" t="str">
        <f>'1. All Data'!C102</f>
        <v>Brewhouse and Town Hall Service</v>
      </c>
      <c r="C87" s="128" t="str">
        <f>'1. All Data'!D102</f>
        <v>Deliver 6 outdoor events, including activity such as street theatre and performances in our parks</v>
      </c>
      <c r="D87" s="124" t="str">
        <f>'1. All Data'!H102</f>
        <v>On Track to be Achieved</v>
      </c>
      <c r="E87" s="96"/>
      <c r="F87" s="125" t="str">
        <f>'1. All Data'!M102</f>
        <v>On Track to be Achieved</v>
      </c>
      <c r="G87" s="97"/>
      <c r="H87" s="126" t="str">
        <f>'1. All Data'!R102</f>
        <v>Fully Achieved</v>
      </c>
      <c r="I87" s="97"/>
      <c r="J87" s="126" t="str">
        <f>'1. All Data'!V102</f>
        <v>Fully Achieved</v>
      </c>
    </row>
    <row r="88" spans="1:46" ht="99.75" customHeight="1">
      <c r="A88" s="95" t="str">
        <f>'1. All Data'!B103</f>
        <v>TCD08</v>
      </c>
      <c r="B88" s="127" t="str">
        <f>'1. All Data'!C103</f>
        <v>Brewhouse and Town Hall Service</v>
      </c>
      <c r="C88" s="128" t="str">
        <f>'1. All Data'!D103</f>
        <v>Complete the refurbishment of the Brewhouse roof</v>
      </c>
      <c r="D88" s="124" t="str">
        <f>'1. All Data'!H103</f>
        <v>On Track to be Achieved</v>
      </c>
      <c r="E88" s="96"/>
      <c r="F88" s="125" t="str">
        <f>'1. All Data'!M103</f>
        <v>Off Target</v>
      </c>
      <c r="G88" s="97"/>
      <c r="H88" s="126" t="str">
        <f>'1. All Data'!R103</f>
        <v>Off Target</v>
      </c>
      <c r="I88" s="97"/>
      <c r="J88" s="126" t="str">
        <f>'1. All Data'!V103</f>
        <v>Off Target</v>
      </c>
    </row>
    <row r="89" spans="1:46" ht="99.75" customHeight="1">
      <c r="A89" s="95" t="str">
        <f>'1. All Data'!B104</f>
        <v>GD10</v>
      </c>
      <c r="B89" s="127" t="str">
        <f>'1. All Data'!C104</f>
        <v>Tackling Envirocrime</v>
      </c>
      <c r="C89" s="128" t="str">
        <f>'1. All Data'!D104</f>
        <v>Introduce mobile fly-tipping removal vehicle</v>
      </c>
      <c r="D89" s="124" t="str">
        <f>'1. All Data'!H104</f>
        <v>On Track to be Achieved</v>
      </c>
      <c r="E89" s="97"/>
      <c r="F89" s="125" t="str">
        <f>'1. All Data'!M104</f>
        <v>On Track to be Achieved</v>
      </c>
      <c r="G89" s="97"/>
      <c r="H89" s="126" t="str">
        <f>'1. All Data'!R104</f>
        <v>Fully Achieved</v>
      </c>
      <c r="I89" s="97"/>
      <c r="J89" s="126" t="str">
        <f>'1. All Data'!V104</f>
        <v>Fully Achieved</v>
      </c>
    </row>
    <row r="90" spans="1:46" ht="99.75" customHeight="1">
      <c r="A90" s="95" t="str">
        <f>'1. All Data'!B106</f>
        <v>ECC13a</v>
      </c>
      <c r="B90" s="127" t="str">
        <f>'1. All Data'!C106</f>
        <v>Maintain Performance For Street Cleansing</v>
      </c>
      <c r="C90" s="128" t="str">
        <f>'1. All Data'!D106</f>
        <v>Litter, 0% (using NI195 survey methodology)</v>
      </c>
      <c r="D90" s="124" t="str">
        <f>'1. All Data'!H106</f>
        <v>Not Yet Due</v>
      </c>
      <c r="E90" s="96"/>
      <c r="F90" s="125" t="str">
        <f>'1. All Data'!M106</f>
        <v>On Track to be Achieved</v>
      </c>
      <c r="G90" s="97"/>
      <c r="H90" s="126" t="str">
        <f>'1. All Data'!R106</f>
        <v>On Track to be Achieved</v>
      </c>
      <c r="I90" s="97"/>
      <c r="J90" s="126" t="str">
        <f>'1. All Data'!V106</f>
        <v>Fully Achieved</v>
      </c>
    </row>
    <row r="91" spans="1:46" ht="99.75" customHeight="1">
      <c r="A91" s="95" t="str">
        <f>'1. All Data'!B107</f>
        <v>ECC13b</v>
      </c>
      <c r="B91" s="127" t="str">
        <f>'1. All Data'!C107</f>
        <v>Maintain Performance For Street Cleansing</v>
      </c>
      <c r="C91" s="128" t="str">
        <f>'1. All Data'!D107</f>
        <v>Detritus, 0% (using NI195 survey 
methodology)</v>
      </c>
      <c r="D91" s="124" t="str">
        <f>'1. All Data'!H107</f>
        <v>Not Yet Due</v>
      </c>
      <c r="E91" s="97"/>
      <c r="F91" s="125" t="str">
        <f>'1. All Data'!M107</f>
        <v>On Track to be Achieved</v>
      </c>
      <c r="G91" s="97"/>
      <c r="H91" s="126" t="str">
        <f>'1. All Data'!R107</f>
        <v>On Track to be Achieved</v>
      </c>
      <c r="I91" s="97"/>
      <c r="J91" s="126" t="str">
        <f>'1. All Data'!V107</f>
        <v>Fully Achieved</v>
      </c>
    </row>
    <row r="92" spans="1:46" ht="99.75" customHeight="1">
      <c r="A92" s="95" t="str">
        <f>'1. All Data'!B108</f>
        <v>ECC13c</v>
      </c>
      <c r="B92" s="127" t="str">
        <f>'1. All Data'!C108</f>
        <v>Maintain Performance For Street Cleansing</v>
      </c>
      <c r="C92" s="128" t="str">
        <f>'1. All Data'!D108</f>
        <v>Graffiti, 0% (using NI195 survey 
methodology)</v>
      </c>
      <c r="D92" s="124" t="str">
        <f>'1. All Data'!H108</f>
        <v>Not Yet Due</v>
      </c>
      <c r="E92" s="96"/>
      <c r="F92" s="125" t="str">
        <f>'1. All Data'!M108</f>
        <v>On Track to be Achieved</v>
      </c>
      <c r="G92" s="97"/>
      <c r="H92" s="126" t="str">
        <f>'1. All Data'!R108</f>
        <v>On Track to be Achieved</v>
      </c>
      <c r="I92" s="97"/>
      <c r="J92" s="126" t="str">
        <f>'1. All Data'!V108</f>
        <v>Fully Achieved</v>
      </c>
    </row>
    <row r="93" spans="1:46" ht="99.75" customHeight="1">
      <c r="A93" s="95" t="str">
        <f>'1. All Data'!B109</f>
        <v>ECC13d</v>
      </c>
      <c r="B93" s="127" t="str">
        <f>'1. All Data'!C109</f>
        <v>Maintain Performance For Street Cleansing</v>
      </c>
      <c r="C93" s="128" t="str">
        <f>'1. All Data'!D109</f>
        <v>Fly-posting, 0% (using NI195 survey 
methodology)</v>
      </c>
      <c r="D93" s="124" t="str">
        <f>'1. All Data'!H109</f>
        <v>Not Yet Due</v>
      </c>
      <c r="E93" s="96"/>
      <c r="F93" s="125" t="str">
        <f>'1. All Data'!M109</f>
        <v>On Track to be Achieved</v>
      </c>
      <c r="G93" s="97"/>
      <c r="H93" s="126" t="str">
        <f>'1. All Data'!R109</f>
        <v>On Track to be Achieved</v>
      </c>
      <c r="I93" s="97"/>
      <c r="J93" s="126" t="str">
        <f>'1. All Data'!V109</f>
        <v>Fully Achieved</v>
      </c>
    </row>
    <row r="94" spans="1:46" ht="99.75" customHeight="1">
      <c r="A94" s="95" t="str">
        <f>'1. All Data'!B110</f>
        <v>ECC14</v>
      </c>
      <c r="B94" s="127" t="str">
        <f>'1. All Data'!C110</f>
        <v>Minimise The Number Of Missed Bin Collections</v>
      </c>
      <c r="C94" s="128" t="str">
        <f>'1. All Data'!D110</f>
        <v>Number Of Missed Bin Collections: Achieve 99.97% successful bin collections across the Borough</v>
      </c>
      <c r="D94" s="124" t="str">
        <f>'1. All Data'!H110</f>
        <v>On Track to be Achieved</v>
      </c>
      <c r="E94" s="96"/>
      <c r="F94" s="125" t="str">
        <f>'1. All Data'!M110</f>
        <v>On Track to be Achieved</v>
      </c>
      <c r="G94" s="97"/>
      <c r="H94" s="126" t="str">
        <f>'1. All Data'!R110</f>
        <v>On Track to be Achieved</v>
      </c>
      <c r="I94" s="97"/>
      <c r="J94" s="126" t="str">
        <f>'1. All Data'!V110</f>
        <v>Fully Achieved</v>
      </c>
    </row>
    <row r="95" spans="1:46" ht="99.75" customHeight="1">
      <c r="A95" s="95" t="str">
        <f>'1. All Data'!B111</f>
        <v>ECC15</v>
      </c>
      <c r="B95" s="127" t="str">
        <f>'1. All Data'!C111</f>
        <v>Getting ready for the future</v>
      </c>
      <c r="C95" s="128" t="str">
        <f>'1. All Data'!D111</f>
        <v>Go live with the data-modelling of the waste management round configuration</v>
      </c>
      <c r="D95" s="124" t="str">
        <f>'1. All Data'!H111</f>
        <v>Fully Achieved</v>
      </c>
      <c r="E95" s="96"/>
      <c r="F95" s="125" t="str">
        <f>'1. All Data'!M111</f>
        <v>Fully Achieved</v>
      </c>
      <c r="G95" s="97"/>
      <c r="H95" s="126" t="str">
        <f>'1. All Data'!R111</f>
        <v>Fully Achieved</v>
      </c>
      <c r="I95" s="97"/>
      <c r="J95" s="126" t="str">
        <f>'1. All Data'!V111</f>
        <v>Fully Achieved</v>
      </c>
    </row>
    <row r="96" spans="1:46" ht="99.75" customHeight="1">
      <c r="A96" s="95" t="str">
        <f>'1. All Data'!B112</f>
        <v>ECC16</v>
      </c>
      <c r="B96" s="127" t="str">
        <f>'1. All Data'!C112</f>
        <v>Getting ready for the future</v>
      </c>
      <c r="C96" s="128" t="str">
        <f>'1. All Data'!D112</f>
        <v xml:space="preserve">Report to Cabinet on the new round configuration and procurement requirements of the new waste management vehicles </v>
      </c>
      <c r="D96" s="124" t="str">
        <f>'1. All Data'!H112</f>
        <v>On Track to be Achieved</v>
      </c>
      <c r="E96" s="97"/>
      <c r="F96" s="125" t="str">
        <f>'1. All Data'!M112</f>
        <v>Fully Achieved</v>
      </c>
      <c r="G96" s="97"/>
      <c r="H96" s="126" t="str">
        <f>'1. All Data'!R112</f>
        <v>Fully Achieved</v>
      </c>
      <c r="I96" s="97"/>
      <c r="J96" s="126" t="str">
        <f>'1. All Data'!V112</f>
        <v>Fully Achieved</v>
      </c>
    </row>
    <row r="97" spans="1:10" ht="99.75" customHeight="1">
      <c r="A97" s="95" t="str">
        <f>'1. All Data'!B114</f>
        <v>ECC18</v>
      </c>
      <c r="B97" s="127" t="str">
        <f>'1. All Data'!C114</f>
        <v>Getting ready for the future</v>
      </c>
      <c r="C97" s="128" t="str">
        <f>'1. All Data'!D114</f>
        <v>Prepare a Depot Strategy to identify options to future proof the service</v>
      </c>
      <c r="D97" s="124" t="str">
        <f>'1. All Data'!H114</f>
        <v>On Track to be Achieved</v>
      </c>
      <c r="E97" s="97"/>
      <c r="F97" s="125" t="str">
        <f>'1. All Data'!M114</f>
        <v>On Track to be Achieved</v>
      </c>
      <c r="G97" s="97"/>
      <c r="H97" s="126" t="str">
        <f>'1. All Data'!R114</f>
        <v>Fully Achieved</v>
      </c>
      <c r="I97" s="97"/>
      <c r="J97" s="126" t="str">
        <f>'1. All Data'!V114</f>
        <v>Fully Achieved</v>
      </c>
    </row>
    <row r="98" spans="1:10" ht="99.75" customHeight="1">
      <c r="A98" s="95" t="str">
        <f>'1. All Data'!B115</f>
        <v>ECC19</v>
      </c>
      <c r="B98" s="127" t="str">
        <f>'1. All Data'!C115</f>
        <v>Improve Performance On Waste Reduction</v>
      </c>
      <c r="C98" s="128" t="str">
        <f>'1. All Data'!D115</f>
        <v>Residual Household Waste Per Household: Upper Quartile</v>
      </c>
      <c r="D98" s="124" t="str">
        <f>'1. All Data'!H115</f>
        <v>In Danger of Falling Behind Target</v>
      </c>
      <c r="E98" s="96"/>
      <c r="F98" s="125" t="str">
        <f>'1. All Data'!M115</f>
        <v>In Danger of Falling Behind Target</v>
      </c>
      <c r="G98" s="105"/>
      <c r="H98" s="126" t="str">
        <f>'1. All Data'!R115</f>
        <v>In Danger of Falling Behind Target</v>
      </c>
      <c r="I98" s="97"/>
      <c r="J98" s="126" t="str">
        <f>'1. All Data'!V115</f>
        <v>Off Target</v>
      </c>
    </row>
    <row r="99" spans="1:10" ht="99.75" customHeight="1">
      <c r="A99" s="95" t="str">
        <f>'1. All Data'!B116</f>
        <v>ECC20</v>
      </c>
      <c r="B99" s="127" t="str">
        <f>'1. All Data'!C116</f>
        <v xml:space="preserve">Maintain Performance On Recycling </v>
      </c>
      <c r="C99" s="128" t="str">
        <f>'1. All Data'!D116</f>
        <v>Household Waste Recycled and Composted: Upper Quartile</v>
      </c>
      <c r="D99" s="124" t="str">
        <f>'1. All Data'!H116</f>
        <v>In Danger of Falling Behind Target</v>
      </c>
      <c r="E99" s="97"/>
      <c r="F99" s="125" t="str">
        <f>'1. All Data'!M116</f>
        <v>In Danger of Falling Behind Target</v>
      </c>
      <c r="G99" s="104"/>
      <c r="H99" s="126" t="str">
        <f>'1. All Data'!R116</f>
        <v>In Danger of Falling Behind Target</v>
      </c>
      <c r="I99" s="97"/>
      <c r="J99" s="126" t="str">
        <f>'1. All Data'!V116</f>
        <v>Numerical Outturn Within 10% Tolerance</v>
      </c>
    </row>
    <row r="100" spans="1:10" ht="99.75" customHeight="1">
      <c r="A100" s="95" t="str">
        <f>'1. All Data'!B117</f>
        <v>ECC21</v>
      </c>
      <c r="B100" s="127" t="str">
        <f>'1. All Data'!C117</f>
        <v>Getting ready for the future</v>
      </c>
      <c r="C100" s="128" t="str">
        <f>'1. All Data'!D117</f>
        <v>Carry out Green Vehicle Trial on collection rounds</v>
      </c>
      <c r="D100" s="124" t="str">
        <f>'1. All Data'!H117</f>
        <v>Not Yet Due</v>
      </c>
      <c r="E100" s="97"/>
      <c r="F100" s="125" t="str">
        <f>'1. All Data'!M117</f>
        <v>On Track to be Achieved</v>
      </c>
      <c r="G100" s="97"/>
      <c r="H100" s="126" t="str">
        <f>'1. All Data'!R117</f>
        <v>On Track to be Achieved</v>
      </c>
      <c r="I100" s="97"/>
      <c r="J100" s="126" t="str">
        <f>'1. All Data'!V117</f>
        <v>Fully Achieved</v>
      </c>
    </row>
    <row r="101" spans="1:10" ht="99.75" customHeight="1">
      <c r="A101" s="95" t="str">
        <f>'1. All Data'!B120</f>
        <v>GD01</v>
      </c>
      <c r="B101" s="127" t="str">
        <f>'1. All Data'!C120</f>
        <v>Tackling the cost of living crisis</v>
      </c>
      <c r="C101" s="128" t="str">
        <f>'1. All Data'!D120</f>
        <v>Identify 150 properties with an EPC of D or below where the occupant is on Council tax reduction to offer a range of energy efficiency measures, including insulation, to reduce fuel poverty</v>
      </c>
      <c r="D101" s="124" t="str">
        <f>'1. All Data'!H120</f>
        <v>On Track to be Achieved</v>
      </c>
      <c r="E101" s="97"/>
      <c r="F101" s="125" t="str">
        <f>'1. All Data'!M120</f>
        <v>On Track to be Achieved</v>
      </c>
      <c r="G101" s="97"/>
      <c r="H101" s="126" t="str">
        <f>'1. All Data'!R120</f>
        <v>On Track to be Achieved</v>
      </c>
      <c r="I101" s="97"/>
      <c r="J101" s="126" t="str">
        <f>'1. All Data'!V120</f>
        <v>Off Target</v>
      </c>
    </row>
    <row r="102" spans="1:10" ht="99.75" customHeight="1">
      <c r="A102" s="95" t="str">
        <f>'1. All Data'!B123</f>
        <v>GD06</v>
      </c>
      <c r="B102" s="127" t="str">
        <f>'1. All Data'!C123</f>
        <v>A Green New Deal for East Staffordshire</v>
      </c>
      <c r="C102" s="128" t="str">
        <f>'1. All Data'!D123</f>
        <v>Work with local cycle firms to provide affordable bike rental for visitors and residents</v>
      </c>
      <c r="D102" s="124" t="str">
        <f>'1. All Data'!H123</f>
        <v>Not Yet Due</v>
      </c>
      <c r="E102" s="96"/>
      <c r="F102" s="125" t="str">
        <f>'1. All Data'!M123</f>
        <v>Not Yet Due</v>
      </c>
      <c r="G102" s="97"/>
      <c r="H102" s="126" t="str">
        <f>'1. All Data'!R123</f>
        <v>Fully Achieved</v>
      </c>
      <c r="I102" s="97"/>
      <c r="J102" s="126" t="str">
        <f>'1. All Data'!V123</f>
        <v>Fully Achieved</v>
      </c>
    </row>
    <row r="103" spans="1:10" ht="99.75" customHeight="1">
      <c r="A103" s="95" t="str">
        <f>'1. All Data'!B125</f>
        <v>CRS06</v>
      </c>
      <c r="B103" s="127" t="str">
        <f>'1. All Data'!C125</f>
        <v>Supporting local communities</v>
      </c>
      <c r="C103" s="128" t="str">
        <f>'1. All Data'!D125</f>
        <v>Undertake a review of the Public Events Safety Advisory Group procedures and update as required</v>
      </c>
      <c r="D103" s="124" t="str">
        <f>'1. All Data'!H125</f>
        <v>On Track to be Achieved</v>
      </c>
      <c r="E103" s="96"/>
      <c r="F103" s="125" t="str">
        <f>'1. All Data'!M125</f>
        <v>Fully Achieved</v>
      </c>
      <c r="G103" s="97"/>
      <c r="H103" s="126" t="str">
        <f>'1. All Data'!R125</f>
        <v>Fully Achieved</v>
      </c>
      <c r="I103" s="97"/>
      <c r="J103" s="126" t="str">
        <f>'1. All Data'!V125</f>
        <v>Fully Achieved</v>
      </c>
    </row>
    <row r="104" spans="1:10" ht="99.75" customHeight="1">
      <c r="A104" s="95" t="str">
        <f>'1. All Data'!B126</f>
        <v>CRS12</v>
      </c>
      <c r="B104" s="127" t="str">
        <f>'1. All Data'!C126</f>
        <v>Disabled Facilities Grants</v>
      </c>
      <c r="C104" s="128" t="str">
        <f>'1. All Data'!D126</f>
        <v>Improve service delivery timescales from ‘enquiry to completion’ by 10% on 22/23 performance</v>
      </c>
      <c r="D104" s="124" t="str">
        <f>'1. All Data'!H126</f>
        <v>Not Yet Due</v>
      </c>
      <c r="E104" s="97"/>
      <c r="F104" s="125" t="str">
        <f>'1. All Data'!M126</f>
        <v>On Track to be Achieved</v>
      </c>
      <c r="G104" s="97"/>
      <c r="H104" s="126" t="str">
        <f>'1. All Data'!R126</f>
        <v>On Track to be Achieved</v>
      </c>
      <c r="I104" s="97"/>
      <c r="J104" s="126" t="str">
        <f>'1. All Data'!V126</f>
        <v>Fully Achieved</v>
      </c>
    </row>
    <row r="105" spans="1:10" ht="99.75" customHeight="1">
      <c r="A105" s="95" t="e">
        <f>'1. All Data'!#REF!</f>
        <v>#REF!</v>
      </c>
      <c r="B105" s="127" t="e">
        <f>'1. All Data'!#REF!</f>
        <v>#REF!</v>
      </c>
      <c r="C105" s="128" t="e">
        <f>'1. All Data'!#REF!</f>
        <v>#REF!</v>
      </c>
      <c r="D105" s="124" t="e">
        <f>'1. All Data'!#REF!</f>
        <v>#REF!</v>
      </c>
      <c r="E105" s="97"/>
      <c r="F105" s="125" t="e">
        <f>'1. All Data'!#REF!</f>
        <v>#REF!</v>
      </c>
      <c r="G105" s="97"/>
      <c r="H105" s="126" t="e">
        <f>'1. All Data'!#REF!</f>
        <v>#REF!</v>
      </c>
      <c r="I105" s="97"/>
      <c r="J105" s="126" t="e">
        <f>'1. All Data'!#REF!</f>
        <v>#REF!</v>
      </c>
    </row>
    <row r="106" spans="1:10" ht="99.75" customHeight="1">
      <c r="A106" s="95" t="e">
        <f>'1. All Data'!#REF!</f>
        <v>#REF!</v>
      </c>
      <c r="B106" s="127" t="e">
        <f>'1. All Data'!#REF!</f>
        <v>#REF!</v>
      </c>
      <c r="C106" s="128" t="e">
        <f>'1. All Data'!#REF!</f>
        <v>#REF!</v>
      </c>
      <c r="D106" s="124" t="e">
        <f>'1. All Data'!#REF!</f>
        <v>#REF!</v>
      </c>
      <c r="E106" s="97"/>
      <c r="F106" s="125" t="e">
        <f>'1. All Data'!#REF!</f>
        <v>#REF!</v>
      </c>
      <c r="G106" s="97"/>
      <c r="H106" s="126" t="e">
        <f>'1. All Data'!#REF!</f>
        <v>#REF!</v>
      </c>
      <c r="I106" s="97"/>
      <c r="J106" s="126" t="e">
        <f>'1. All Data'!#REF!</f>
        <v>#REF!</v>
      </c>
    </row>
    <row r="107" spans="1:10" ht="99.75" customHeight="1">
      <c r="A107" s="95" t="e">
        <f>'1. All Data'!#REF!</f>
        <v>#REF!</v>
      </c>
      <c r="B107" s="127" t="e">
        <f>'1. All Data'!#REF!</f>
        <v>#REF!</v>
      </c>
      <c r="C107" s="128" t="e">
        <f>'1. All Data'!#REF!</f>
        <v>#REF!</v>
      </c>
      <c r="D107" s="124" t="e">
        <f>'1. All Data'!#REF!</f>
        <v>#REF!</v>
      </c>
      <c r="E107" s="97"/>
      <c r="F107" s="125" t="e">
        <f>'1. All Data'!#REF!</f>
        <v>#REF!</v>
      </c>
      <c r="G107" s="97"/>
      <c r="H107" s="126" t="e">
        <f>'1. All Data'!#REF!</f>
        <v>#REF!</v>
      </c>
      <c r="I107" s="97"/>
      <c r="J107" s="126" t="e">
        <f>'1. All Data'!#REF!</f>
        <v>#REF!</v>
      </c>
    </row>
    <row r="108" spans="1:10" ht="99.75" customHeight="1">
      <c r="A108" s="95" t="e">
        <f>'1. All Data'!#REF!</f>
        <v>#REF!</v>
      </c>
      <c r="B108" s="127" t="e">
        <f>'1. All Data'!#REF!</f>
        <v>#REF!</v>
      </c>
      <c r="C108" s="128" t="e">
        <f>'1. All Data'!#REF!</f>
        <v>#REF!</v>
      </c>
      <c r="D108" s="124" t="e">
        <f>'1. All Data'!#REF!</f>
        <v>#REF!</v>
      </c>
      <c r="E108" s="97"/>
      <c r="F108" s="125" t="e">
        <f>'1. All Data'!#REF!</f>
        <v>#REF!</v>
      </c>
      <c r="G108" s="97"/>
      <c r="H108" s="126" t="e">
        <f>'1. All Data'!#REF!</f>
        <v>#REF!</v>
      </c>
      <c r="I108" s="97"/>
      <c r="J108" s="126" t="e">
        <f>'1. All Data'!#REF!</f>
        <v>#REF!</v>
      </c>
    </row>
    <row r="109" spans="1:10" ht="99.75" customHeight="1">
      <c r="A109" s="95" t="e">
        <f>'1. All Data'!#REF!</f>
        <v>#REF!</v>
      </c>
      <c r="B109" s="127" t="e">
        <f>'1. All Data'!#REF!</f>
        <v>#REF!</v>
      </c>
      <c r="C109" s="128" t="e">
        <f>'1. All Data'!#REF!</f>
        <v>#REF!</v>
      </c>
      <c r="D109" s="124" t="e">
        <f>'1. All Data'!#REF!</f>
        <v>#REF!</v>
      </c>
      <c r="E109" s="97"/>
      <c r="F109" s="125" t="e">
        <f>'1. All Data'!#REF!</f>
        <v>#REF!</v>
      </c>
      <c r="G109" s="97"/>
      <c r="H109" s="126" t="e">
        <f>'1. All Data'!#REF!</f>
        <v>#REF!</v>
      </c>
      <c r="I109" s="97"/>
      <c r="J109" s="126" t="e">
        <f>'1. All Data'!#REF!</f>
        <v>#REF!</v>
      </c>
    </row>
    <row r="110" spans="1:10" ht="99.75" customHeight="1">
      <c r="A110" s="95" t="e">
        <f>'1. All Data'!#REF!</f>
        <v>#REF!</v>
      </c>
      <c r="B110" s="127" t="e">
        <f>'1. All Data'!#REF!</f>
        <v>#REF!</v>
      </c>
      <c r="C110" s="128" t="e">
        <f>'1. All Data'!#REF!</f>
        <v>#REF!</v>
      </c>
      <c r="D110" s="124" t="e">
        <f>'1. All Data'!#REF!</f>
        <v>#REF!</v>
      </c>
      <c r="E110" s="96"/>
      <c r="F110" s="125" t="e">
        <f>'1. All Data'!#REF!</f>
        <v>#REF!</v>
      </c>
      <c r="G110" s="97"/>
      <c r="H110" s="126" t="e">
        <f>'1. All Data'!#REF!</f>
        <v>#REF!</v>
      </c>
      <c r="I110" s="104"/>
      <c r="J110" s="126" t="e">
        <f>'1. All Data'!#REF!</f>
        <v>#REF!</v>
      </c>
    </row>
    <row r="111" spans="1:10" s="98" customFormat="1">
      <c r="C111" s="122"/>
    </row>
    <row r="112" spans="1:10" s="98" customFormat="1">
      <c r="C112" s="122"/>
    </row>
    <row r="113" spans="3:3" s="98" customFormat="1">
      <c r="C113" s="122"/>
    </row>
    <row r="114" spans="3:3" s="98" customFormat="1">
      <c r="C114" s="122"/>
    </row>
    <row r="115" spans="3:3" s="98" customFormat="1">
      <c r="C115" s="122"/>
    </row>
    <row r="116" spans="3:3" s="98" customFormat="1">
      <c r="C116" s="122"/>
    </row>
    <row r="117" spans="3:3" s="98" customFormat="1">
      <c r="C117" s="122"/>
    </row>
    <row r="118" spans="3:3" s="98" customFormat="1">
      <c r="C118" s="122"/>
    </row>
    <row r="119" spans="3:3" s="98" customFormat="1">
      <c r="C119" s="122"/>
    </row>
    <row r="120" spans="3:3" s="98" customFormat="1">
      <c r="C120" s="122"/>
    </row>
    <row r="121" spans="3:3" s="98" customFormat="1">
      <c r="C121" s="122"/>
    </row>
    <row r="122" spans="3:3" s="98" customFormat="1">
      <c r="C122" s="122"/>
    </row>
    <row r="123" spans="3:3" s="98" customFormat="1">
      <c r="C123" s="122"/>
    </row>
    <row r="124" spans="3:3" s="98" customFormat="1">
      <c r="C124" s="122"/>
    </row>
    <row r="125" spans="3:3" s="98" customFormat="1">
      <c r="C125" s="122"/>
    </row>
    <row r="126" spans="3:3" s="98" customFormat="1">
      <c r="C126" s="122"/>
    </row>
    <row r="127" spans="3:3" s="98" customFormat="1">
      <c r="C127" s="122"/>
    </row>
    <row r="128" spans="3:3" s="98" customFormat="1">
      <c r="C128" s="122"/>
    </row>
    <row r="129" spans="3:3">
      <c r="C129" s="122"/>
    </row>
  </sheetData>
  <sheetProtection algorithmName="SHA-512" hashValue="L3arEyeHf5a4zH0743XXLpI0ht9EBVHJsTcbfqzSfi+t8XSRwTUfH5SDf9sA/hDEIUmXLfLCZX+h/Ga1164o9w==" saltValue="bqVGGwlDANYn+Etvvzyt3g==" spinCount="100000" sheet="1" objects="1" scenarios="1"/>
  <conditionalFormatting sqref="V82">
    <cfRule type="containsText" dxfId="3971" priority="4241" operator="containsText" text="Numerical Outturn Within 10% Tolerance">
      <formula>NOT(ISERROR(SEARCH("Numerical Outturn Within 10% Tolerance",V82)))</formula>
    </cfRule>
    <cfRule type="containsText" dxfId="3970" priority="4242" operator="containsText" text="Numerical Outturn Within 5% Tolerance">
      <formula>NOT(ISERROR(SEARCH("Numerical Outturn Within 5% Tolerance",V82)))</formula>
    </cfRule>
    <cfRule type="containsText" dxfId="3969" priority="4243" operator="containsText" text="Target Achieved / Exceeded">
      <formula>NOT(ISERROR(SEARCH("Target Achieved / Exceeded",V82)))</formula>
    </cfRule>
    <cfRule type="containsText" dxfId="3968" priority="4244" operator="containsText" text="Full Update Not Yet Available">
      <formula>NOT(ISERROR(SEARCH("Full Update Not Yet Available",V82)))</formula>
    </cfRule>
    <cfRule type="containsText" dxfId="3967" priority="4245" operator="containsText" text="Full Update Not Yet Available">
      <formula>NOT(ISERROR(SEARCH("Full Update Not Yet Available",V82)))</formula>
    </cfRule>
  </conditionalFormatting>
  <conditionalFormatting sqref="M82 R82">
    <cfRule type="containsText" dxfId="3966" priority="4223" operator="containsText" text="Deferred">
      <formula>NOT(ISERROR(SEARCH("Deferred",M82)))</formula>
    </cfRule>
  </conditionalFormatting>
  <conditionalFormatting sqref="G29 G42 G50 G54 G61 G69:G71 G74 G83 G86 G98 I42 I50 I61 I69:I71 I83 D3:D110 F3:F110 H3:H110 J3:J110">
    <cfRule type="containsText" dxfId="3965" priority="4218" operator="containsText" text="On track to be achieved">
      <formula>NOT(ISERROR(SEARCH("On track to be achieved",D3)))</formula>
    </cfRule>
    <cfRule type="containsText" dxfId="3964" priority="4219" operator="containsText" text="Deferred">
      <formula>NOT(ISERROR(SEARCH("Deferred",D3)))</formula>
    </cfRule>
    <cfRule type="containsText" dxfId="3963" priority="4220" operator="containsText" text="Deleted">
      <formula>NOT(ISERROR(SEARCH("Deleted",D3)))</formula>
    </cfRule>
    <cfRule type="containsText" dxfId="3962" priority="4221" operator="containsText" text="In Danger of Falling Behind Target">
      <formula>NOT(ISERROR(SEARCH("In Danger of Falling Behind Target",D3)))</formula>
    </cfRule>
    <cfRule type="containsText" dxfId="3961" priority="4222" operator="containsText" text="Not yet due">
      <formula>NOT(ISERROR(SEARCH("Not yet due",D3)))</formula>
    </cfRule>
    <cfRule type="containsText" dxfId="3960" priority="4224" operator="containsText" text="Update not Provided">
      <formula>NOT(ISERROR(SEARCH("Update not Provided",D3)))</formula>
    </cfRule>
    <cfRule type="containsText" dxfId="3959" priority="4225" operator="containsText" text="Not yet due">
      <formula>NOT(ISERROR(SEARCH("Not yet due",D3)))</formula>
    </cfRule>
    <cfRule type="containsText" dxfId="3958" priority="4226" operator="containsText" text="Completed Behind Schedule">
      <formula>NOT(ISERROR(SEARCH("Completed Behind Schedule",D3)))</formula>
    </cfRule>
    <cfRule type="containsText" dxfId="3957" priority="4227" operator="containsText" text="Off Target">
      <formula>NOT(ISERROR(SEARCH("Off Target",D3)))</formula>
    </cfRule>
    <cfRule type="containsText" dxfId="3956" priority="4228" operator="containsText" text="On Track to be Achieved">
      <formula>NOT(ISERROR(SEARCH("On Track to be Achieved",D3)))</formula>
    </cfRule>
    <cfRule type="containsText" dxfId="3955" priority="4229" operator="containsText" text="Fully Achieved">
      <formula>NOT(ISERROR(SEARCH("Fully Achieved",D3)))</formula>
    </cfRule>
    <cfRule type="containsText" dxfId="3954" priority="4230" operator="containsText" text="Not yet due">
      <formula>NOT(ISERROR(SEARCH("Not yet due",D3)))</formula>
    </cfRule>
    <cfRule type="containsText" dxfId="3953" priority="4231" operator="containsText" text="Not Yet Due">
      <formula>NOT(ISERROR(SEARCH("Not Yet Due",D3)))</formula>
    </cfRule>
    <cfRule type="containsText" dxfId="3952" priority="4232" operator="containsText" text="Deferred">
      <formula>NOT(ISERROR(SEARCH("Deferred",D3)))</formula>
    </cfRule>
    <cfRule type="containsText" dxfId="3951" priority="4233" operator="containsText" text="Deleted">
      <formula>NOT(ISERROR(SEARCH("Deleted",D3)))</formula>
    </cfRule>
    <cfRule type="containsText" dxfId="3950" priority="4234" operator="containsText" text="In Danger of Falling Behind Target">
      <formula>NOT(ISERROR(SEARCH("In Danger of Falling Behind Target",D3)))</formula>
    </cfRule>
    <cfRule type="containsText" dxfId="3949" priority="4235" operator="containsText" text="Not yet due">
      <formula>NOT(ISERROR(SEARCH("Not yet due",D3)))</formula>
    </cfRule>
    <cfRule type="containsText" dxfId="3948" priority="4236" operator="containsText" text="Completed Behind Schedule">
      <formula>NOT(ISERROR(SEARCH("Completed Behind Schedule",D3)))</formula>
    </cfRule>
    <cfRule type="containsText" dxfId="3947" priority="4237" operator="containsText" text="Off Target">
      <formula>NOT(ISERROR(SEARCH("Off Target",D3)))</formula>
    </cfRule>
    <cfRule type="containsText" dxfId="3946" priority="4238" operator="containsText" text="In Danger of Falling Behind Target">
      <formula>NOT(ISERROR(SEARCH("In Danger of Falling Behind Target",D3)))</formula>
    </cfRule>
    <cfRule type="containsText" dxfId="3945" priority="4239" operator="containsText" text="On Track to be Achieved">
      <formula>NOT(ISERROR(SEARCH("On Track to be Achieved",D3)))</formula>
    </cfRule>
    <cfRule type="containsText" dxfId="3944" priority="4240" operator="containsText" text="Fully Achieved">
      <formula>NOT(ISERROR(SEARCH("Fully Achieved",D3)))</formula>
    </cfRule>
    <cfRule type="containsText" dxfId="3943" priority="4246" operator="containsText" text="Update not Provided">
      <formula>NOT(ISERROR(SEARCH("Update not Provided",D3)))</formula>
    </cfRule>
    <cfRule type="containsText" dxfId="3942" priority="4247" operator="containsText" text="Not yet due">
      <formula>NOT(ISERROR(SEARCH("Not yet due",D3)))</formula>
    </cfRule>
    <cfRule type="containsText" dxfId="3941" priority="4248" operator="containsText" text="Completed Behind Schedule">
      <formula>NOT(ISERROR(SEARCH("Completed Behind Schedule",D3)))</formula>
    </cfRule>
    <cfRule type="containsText" dxfId="3940" priority="4249" operator="containsText" text="Off Target">
      <formula>NOT(ISERROR(SEARCH("Off Target",D3)))</formula>
    </cfRule>
    <cfRule type="containsText" dxfId="3939" priority="4250" operator="containsText" text="In Danger of Falling Behind Target">
      <formula>NOT(ISERROR(SEARCH("In Danger of Falling Behind Target",D3)))</formula>
    </cfRule>
    <cfRule type="containsText" dxfId="3938" priority="4251" operator="containsText" text="On Track to be Achieved">
      <formula>NOT(ISERROR(SEARCH("On Track to be Achieved",D3)))</formula>
    </cfRule>
    <cfRule type="containsText" dxfId="3937" priority="4252" operator="containsText" text="Fully Achieved">
      <formula>NOT(ISERROR(SEARCH("Fully Achieved",D3)))</formula>
    </cfRule>
    <cfRule type="containsText" dxfId="3936" priority="4253" operator="containsText" text="Fully Achieved">
      <formula>NOT(ISERROR(SEARCH("Fully Achieved",D3)))</formula>
    </cfRule>
    <cfRule type="containsText" dxfId="3935" priority="4254" operator="containsText" text="Fully Achieved">
      <formula>NOT(ISERROR(SEARCH("Fully Achieved",D3)))</formula>
    </cfRule>
    <cfRule type="containsText" dxfId="3934" priority="4255" operator="containsText" text="Deferred">
      <formula>NOT(ISERROR(SEARCH("Deferred",D3)))</formula>
    </cfRule>
    <cfRule type="containsText" dxfId="3933" priority="4256" operator="containsText" text="Deleted">
      <formula>NOT(ISERROR(SEARCH("Deleted",D3)))</formula>
    </cfRule>
    <cfRule type="containsText" dxfId="3932" priority="4257" operator="containsText" text="In Danger of Falling Behind Target">
      <formula>NOT(ISERROR(SEARCH("In Danger of Falling Behind Target",D3)))</formula>
    </cfRule>
    <cfRule type="containsText" dxfId="3931" priority="4258" operator="containsText" text="Not yet due">
      <formula>NOT(ISERROR(SEARCH("Not yet due",D3)))</formula>
    </cfRule>
    <cfRule type="containsText" dxfId="3930" priority="4259" operator="containsText" text="Update not Provided">
      <formula>NOT(ISERROR(SEARCH("Update not Provided",D3)))</formula>
    </cfRule>
  </conditionalFormatting>
  <conditionalFormatting sqref="Y4:Y5">
    <cfRule type="containsText" dxfId="3929" priority="4182" operator="containsText" text="On track to be achieved">
      <formula>NOT(ISERROR(SEARCH("On track to be achieved",Y4)))</formula>
    </cfRule>
    <cfRule type="containsText" dxfId="3928" priority="4183" operator="containsText" text="Deferred">
      <formula>NOT(ISERROR(SEARCH("Deferred",Y4)))</formula>
    </cfRule>
    <cfRule type="containsText" dxfId="3927" priority="4184" operator="containsText" text="Deleted">
      <formula>NOT(ISERROR(SEARCH("Deleted",Y4)))</formula>
    </cfRule>
    <cfRule type="containsText" dxfId="3926" priority="4185" operator="containsText" text="In Danger of Falling Behind Target">
      <formula>NOT(ISERROR(SEARCH("In Danger of Falling Behind Target",Y4)))</formula>
    </cfRule>
    <cfRule type="containsText" dxfId="3925" priority="4186" operator="containsText" text="Not yet due">
      <formula>NOT(ISERROR(SEARCH("Not yet due",Y4)))</formula>
    </cfRule>
    <cfRule type="containsText" dxfId="3924" priority="4187" operator="containsText" text="Update not Provided">
      <formula>NOT(ISERROR(SEARCH("Update not Provided",Y4)))</formula>
    </cfRule>
    <cfRule type="containsText" dxfId="3923" priority="4188" operator="containsText" text="Not yet due">
      <formula>NOT(ISERROR(SEARCH("Not yet due",Y4)))</formula>
    </cfRule>
    <cfRule type="containsText" dxfId="3922" priority="4189" operator="containsText" text="Completed Behind Schedule">
      <formula>NOT(ISERROR(SEARCH("Completed Behind Schedule",Y4)))</formula>
    </cfRule>
    <cfRule type="containsText" dxfId="3921" priority="4190" operator="containsText" text="Off Target">
      <formula>NOT(ISERROR(SEARCH("Off Target",Y4)))</formula>
    </cfRule>
    <cfRule type="containsText" dxfId="3920" priority="4191" operator="containsText" text="On Track to be Achieved">
      <formula>NOT(ISERROR(SEARCH("On Track to be Achieved",Y4)))</formula>
    </cfRule>
    <cfRule type="containsText" dxfId="3919" priority="4192" operator="containsText" text="Fully Achieved">
      <formula>NOT(ISERROR(SEARCH("Fully Achieved",Y4)))</formula>
    </cfRule>
    <cfRule type="containsText" dxfId="3918" priority="4193" operator="containsText" text="Not yet due">
      <formula>NOT(ISERROR(SEARCH("Not yet due",Y4)))</formula>
    </cfRule>
    <cfRule type="containsText" dxfId="3917" priority="4194" operator="containsText" text="Not Yet Due">
      <formula>NOT(ISERROR(SEARCH("Not Yet Due",Y4)))</formula>
    </cfRule>
    <cfRule type="containsText" dxfId="3916" priority="4195" operator="containsText" text="Deferred">
      <formula>NOT(ISERROR(SEARCH("Deferred",Y4)))</formula>
    </cfRule>
    <cfRule type="containsText" dxfId="3915" priority="4196" operator="containsText" text="Deleted">
      <formula>NOT(ISERROR(SEARCH("Deleted",Y4)))</formula>
    </cfRule>
    <cfRule type="containsText" dxfId="3914" priority="4197" operator="containsText" text="In Danger of Falling Behind Target">
      <formula>NOT(ISERROR(SEARCH("In Danger of Falling Behind Target",Y4)))</formula>
    </cfRule>
    <cfRule type="containsText" dxfId="3913" priority="4198" operator="containsText" text="Not yet due">
      <formula>NOT(ISERROR(SEARCH("Not yet due",Y4)))</formula>
    </cfRule>
    <cfRule type="containsText" dxfId="3912" priority="4199" operator="containsText" text="Completed Behind Schedule">
      <formula>NOT(ISERROR(SEARCH("Completed Behind Schedule",Y4)))</formula>
    </cfRule>
    <cfRule type="containsText" dxfId="3911" priority="4200" operator="containsText" text="Off Target">
      <formula>NOT(ISERROR(SEARCH("Off Target",Y4)))</formula>
    </cfRule>
    <cfRule type="containsText" dxfId="3910" priority="4201" operator="containsText" text="In Danger of Falling Behind Target">
      <formula>NOT(ISERROR(SEARCH("In Danger of Falling Behind Target",Y4)))</formula>
    </cfRule>
    <cfRule type="containsText" dxfId="3909" priority="4202" operator="containsText" text="On Track to be Achieved">
      <formula>NOT(ISERROR(SEARCH("On Track to be Achieved",Y4)))</formula>
    </cfRule>
    <cfRule type="containsText" dxfId="3908" priority="4203" operator="containsText" text="Fully Achieved">
      <formula>NOT(ISERROR(SEARCH("Fully Achieved",Y4)))</formula>
    </cfRule>
    <cfRule type="containsText" dxfId="3907" priority="4204" operator="containsText" text="Update not Provided">
      <formula>NOT(ISERROR(SEARCH("Update not Provided",Y4)))</formula>
    </cfRule>
    <cfRule type="containsText" dxfId="3906" priority="4205" operator="containsText" text="Not yet due">
      <formula>NOT(ISERROR(SEARCH("Not yet due",Y4)))</formula>
    </cfRule>
    <cfRule type="containsText" dxfId="3905" priority="4206" operator="containsText" text="Completed Behind Schedule">
      <formula>NOT(ISERROR(SEARCH("Completed Behind Schedule",Y4)))</formula>
    </cfRule>
    <cfRule type="containsText" dxfId="3904" priority="4207" operator="containsText" text="Off Target">
      <formula>NOT(ISERROR(SEARCH("Off Target",Y4)))</formula>
    </cfRule>
    <cfRule type="containsText" dxfId="3903" priority="4208" operator="containsText" text="In Danger of Falling Behind Target">
      <formula>NOT(ISERROR(SEARCH("In Danger of Falling Behind Target",Y4)))</formula>
    </cfRule>
    <cfRule type="containsText" dxfId="3902" priority="4209" operator="containsText" text="On Track to be Achieved">
      <formula>NOT(ISERROR(SEARCH("On Track to be Achieved",Y4)))</formula>
    </cfRule>
    <cfRule type="containsText" dxfId="3901" priority="4210" operator="containsText" text="Fully Achieved">
      <formula>NOT(ISERROR(SEARCH("Fully Achieved",Y4)))</formula>
    </cfRule>
    <cfRule type="containsText" dxfId="3900" priority="4211" operator="containsText" text="Fully Achieved">
      <formula>NOT(ISERROR(SEARCH("Fully Achieved",Y4)))</formula>
    </cfRule>
    <cfRule type="containsText" dxfId="3899" priority="4212" operator="containsText" text="Fully Achieved">
      <formula>NOT(ISERROR(SEARCH("Fully Achieved",Y4)))</formula>
    </cfRule>
    <cfRule type="containsText" dxfId="3898" priority="4213" operator="containsText" text="Deferred">
      <formula>NOT(ISERROR(SEARCH("Deferred",Y4)))</formula>
    </cfRule>
    <cfRule type="containsText" dxfId="3897" priority="4214" operator="containsText" text="Deleted">
      <formula>NOT(ISERROR(SEARCH("Deleted",Y4)))</formula>
    </cfRule>
    <cfRule type="containsText" dxfId="3896" priority="4215" operator="containsText" text="In Danger of Falling Behind Target">
      <formula>NOT(ISERROR(SEARCH("In Danger of Falling Behind Target",Y4)))</formula>
    </cfRule>
    <cfRule type="containsText" dxfId="3895" priority="4216" operator="containsText" text="Not yet due">
      <formula>NOT(ISERROR(SEARCH("Not yet due",Y4)))</formula>
    </cfRule>
    <cfRule type="containsText" dxfId="3894" priority="4217" operator="containsText" text="Update not Provided">
      <formula>NOT(ISERROR(SEARCH("Update not Provided",Y4)))</formula>
    </cfRule>
  </conditionalFormatting>
  <conditionalFormatting sqref="G42">
    <cfRule type="containsText" dxfId="3893" priority="4146" operator="containsText" text="On track to be achieved">
      <formula>NOT(ISERROR(SEARCH("On track to be achieved",G42)))</formula>
    </cfRule>
    <cfRule type="containsText" dxfId="3892" priority="4147" operator="containsText" text="Deferred">
      <formula>NOT(ISERROR(SEARCH("Deferred",G42)))</formula>
    </cfRule>
    <cfRule type="containsText" dxfId="3891" priority="4148" operator="containsText" text="Deleted">
      <formula>NOT(ISERROR(SEARCH("Deleted",G42)))</formula>
    </cfRule>
    <cfRule type="containsText" dxfId="3890" priority="4149" operator="containsText" text="In Danger of Falling Behind Target">
      <formula>NOT(ISERROR(SEARCH("In Danger of Falling Behind Target",G42)))</formula>
    </cfRule>
    <cfRule type="containsText" dxfId="3889" priority="4150" operator="containsText" text="Not yet due">
      <formula>NOT(ISERROR(SEARCH("Not yet due",G42)))</formula>
    </cfRule>
    <cfRule type="containsText" dxfId="3888" priority="4151" operator="containsText" text="Update not Provided">
      <formula>NOT(ISERROR(SEARCH("Update not Provided",G42)))</formula>
    </cfRule>
    <cfRule type="containsText" dxfId="3887" priority="4152" operator="containsText" text="Not yet due">
      <formula>NOT(ISERROR(SEARCH("Not yet due",G42)))</formula>
    </cfRule>
    <cfRule type="containsText" dxfId="3886" priority="4153" operator="containsText" text="Completed Behind Schedule">
      <formula>NOT(ISERROR(SEARCH("Completed Behind Schedule",G42)))</formula>
    </cfRule>
    <cfRule type="containsText" dxfId="3885" priority="4154" operator="containsText" text="Off Target">
      <formula>NOT(ISERROR(SEARCH("Off Target",G42)))</formula>
    </cfRule>
    <cfRule type="containsText" dxfId="3884" priority="4155" operator="containsText" text="On Track to be Achieved">
      <formula>NOT(ISERROR(SEARCH("On Track to be Achieved",G42)))</formula>
    </cfRule>
    <cfRule type="containsText" dxfId="3883" priority="4156" operator="containsText" text="Fully Achieved">
      <formula>NOT(ISERROR(SEARCH("Fully Achieved",G42)))</formula>
    </cfRule>
    <cfRule type="containsText" dxfId="3882" priority="4157" operator="containsText" text="Not yet due">
      <formula>NOT(ISERROR(SEARCH("Not yet due",G42)))</formula>
    </cfRule>
    <cfRule type="containsText" dxfId="3881" priority="4158" operator="containsText" text="Not Yet Due">
      <formula>NOT(ISERROR(SEARCH("Not Yet Due",G42)))</formula>
    </cfRule>
    <cfRule type="containsText" dxfId="3880" priority="4159" operator="containsText" text="Deferred">
      <formula>NOT(ISERROR(SEARCH("Deferred",G42)))</formula>
    </cfRule>
    <cfRule type="containsText" dxfId="3879" priority="4160" operator="containsText" text="Deleted">
      <formula>NOT(ISERROR(SEARCH("Deleted",G42)))</formula>
    </cfRule>
    <cfRule type="containsText" dxfId="3878" priority="4161" operator="containsText" text="In Danger of Falling Behind Target">
      <formula>NOT(ISERROR(SEARCH("In Danger of Falling Behind Target",G42)))</formula>
    </cfRule>
    <cfRule type="containsText" dxfId="3877" priority="4162" operator="containsText" text="Not yet due">
      <formula>NOT(ISERROR(SEARCH("Not yet due",G42)))</formula>
    </cfRule>
    <cfRule type="containsText" dxfId="3876" priority="4163" operator="containsText" text="Completed Behind Schedule">
      <formula>NOT(ISERROR(SEARCH("Completed Behind Schedule",G42)))</formula>
    </cfRule>
    <cfRule type="containsText" dxfId="3875" priority="4164" operator="containsText" text="Off Target">
      <formula>NOT(ISERROR(SEARCH("Off Target",G42)))</formula>
    </cfRule>
    <cfRule type="containsText" dxfId="3874" priority="4165" operator="containsText" text="In Danger of Falling Behind Target">
      <formula>NOT(ISERROR(SEARCH("In Danger of Falling Behind Target",G42)))</formula>
    </cfRule>
    <cfRule type="containsText" dxfId="3873" priority="4166" operator="containsText" text="On Track to be Achieved">
      <formula>NOT(ISERROR(SEARCH("On Track to be Achieved",G42)))</formula>
    </cfRule>
    <cfRule type="containsText" dxfId="3872" priority="4167" operator="containsText" text="Fully Achieved">
      <formula>NOT(ISERROR(SEARCH("Fully Achieved",G42)))</formula>
    </cfRule>
    <cfRule type="containsText" dxfId="3871" priority="4168" operator="containsText" text="Update not Provided">
      <formula>NOT(ISERROR(SEARCH("Update not Provided",G42)))</formula>
    </cfRule>
    <cfRule type="containsText" dxfId="3870" priority="4169" operator="containsText" text="Not yet due">
      <formula>NOT(ISERROR(SEARCH("Not yet due",G42)))</formula>
    </cfRule>
    <cfRule type="containsText" dxfId="3869" priority="4170" operator="containsText" text="Completed Behind Schedule">
      <formula>NOT(ISERROR(SEARCH("Completed Behind Schedule",G42)))</formula>
    </cfRule>
    <cfRule type="containsText" dxfId="3868" priority="4171" operator="containsText" text="Off Target">
      <formula>NOT(ISERROR(SEARCH("Off Target",G42)))</formula>
    </cfRule>
    <cfRule type="containsText" dxfId="3867" priority="4172" operator="containsText" text="In Danger of Falling Behind Target">
      <formula>NOT(ISERROR(SEARCH("In Danger of Falling Behind Target",G42)))</formula>
    </cfRule>
    <cfRule type="containsText" dxfId="3866" priority="4173" operator="containsText" text="On Track to be Achieved">
      <formula>NOT(ISERROR(SEARCH("On Track to be Achieved",G42)))</formula>
    </cfRule>
    <cfRule type="containsText" dxfId="3865" priority="4174" operator="containsText" text="Fully Achieved">
      <formula>NOT(ISERROR(SEARCH("Fully Achieved",G42)))</formula>
    </cfRule>
    <cfRule type="containsText" dxfId="3864" priority="4175" operator="containsText" text="Fully Achieved">
      <formula>NOT(ISERROR(SEARCH("Fully Achieved",G42)))</formula>
    </cfRule>
    <cfRule type="containsText" dxfId="3863" priority="4176" operator="containsText" text="Fully Achieved">
      <formula>NOT(ISERROR(SEARCH("Fully Achieved",G42)))</formula>
    </cfRule>
    <cfRule type="containsText" dxfId="3862" priority="4177" operator="containsText" text="Deferred">
      <formula>NOT(ISERROR(SEARCH("Deferred",G42)))</formula>
    </cfRule>
    <cfRule type="containsText" dxfId="3861" priority="4178" operator="containsText" text="Deleted">
      <formula>NOT(ISERROR(SEARCH("Deleted",G42)))</formula>
    </cfRule>
    <cfRule type="containsText" dxfId="3860" priority="4179" operator="containsText" text="In Danger of Falling Behind Target">
      <formula>NOT(ISERROR(SEARCH("In Danger of Falling Behind Target",G42)))</formula>
    </cfRule>
    <cfRule type="containsText" dxfId="3859" priority="4180" operator="containsText" text="Not yet due">
      <formula>NOT(ISERROR(SEARCH("Not yet due",G42)))</formula>
    </cfRule>
    <cfRule type="containsText" dxfId="3858" priority="4181" operator="containsText" text="Update not Provided">
      <formula>NOT(ISERROR(SEARCH("Update not Provided",G42)))</formula>
    </cfRule>
  </conditionalFormatting>
  <conditionalFormatting sqref="G50 G54">
    <cfRule type="containsText" dxfId="3857" priority="4110" operator="containsText" text="On track to be achieved">
      <formula>NOT(ISERROR(SEARCH("On track to be achieved",G50)))</formula>
    </cfRule>
    <cfRule type="containsText" dxfId="3856" priority="4111" operator="containsText" text="Deferred">
      <formula>NOT(ISERROR(SEARCH("Deferred",G50)))</formula>
    </cfRule>
    <cfRule type="containsText" dxfId="3855" priority="4112" operator="containsText" text="Deleted">
      <formula>NOT(ISERROR(SEARCH("Deleted",G50)))</formula>
    </cfRule>
    <cfRule type="containsText" dxfId="3854" priority="4113" operator="containsText" text="In Danger of Falling Behind Target">
      <formula>NOT(ISERROR(SEARCH("In Danger of Falling Behind Target",G50)))</formula>
    </cfRule>
    <cfRule type="containsText" dxfId="3853" priority="4114" operator="containsText" text="Not yet due">
      <formula>NOT(ISERROR(SEARCH("Not yet due",G50)))</formula>
    </cfRule>
    <cfRule type="containsText" dxfId="3852" priority="4115" operator="containsText" text="Update not Provided">
      <formula>NOT(ISERROR(SEARCH("Update not Provided",G50)))</formula>
    </cfRule>
    <cfRule type="containsText" dxfId="3851" priority="4116" operator="containsText" text="Not yet due">
      <formula>NOT(ISERROR(SEARCH("Not yet due",G50)))</formula>
    </cfRule>
    <cfRule type="containsText" dxfId="3850" priority="4117" operator="containsText" text="Completed Behind Schedule">
      <formula>NOT(ISERROR(SEARCH("Completed Behind Schedule",G50)))</formula>
    </cfRule>
    <cfRule type="containsText" dxfId="3849" priority="4118" operator="containsText" text="Off Target">
      <formula>NOT(ISERROR(SEARCH("Off Target",G50)))</formula>
    </cfRule>
    <cfRule type="containsText" dxfId="3848" priority="4119" operator="containsText" text="On Track to be Achieved">
      <formula>NOT(ISERROR(SEARCH("On Track to be Achieved",G50)))</formula>
    </cfRule>
    <cfRule type="containsText" dxfId="3847" priority="4120" operator="containsText" text="Fully Achieved">
      <formula>NOT(ISERROR(SEARCH("Fully Achieved",G50)))</formula>
    </cfRule>
    <cfRule type="containsText" dxfId="3846" priority="4121" operator="containsText" text="Not yet due">
      <formula>NOT(ISERROR(SEARCH("Not yet due",G50)))</formula>
    </cfRule>
    <cfRule type="containsText" dxfId="3845" priority="4122" operator="containsText" text="Not Yet Due">
      <formula>NOT(ISERROR(SEARCH("Not Yet Due",G50)))</formula>
    </cfRule>
    <cfRule type="containsText" dxfId="3844" priority="4123" operator="containsText" text="Deferred">
      <formula>NOT(ISERROR(SEARCH("Deferred",G50)))</formula>
    </cfRule>
    <cfRule type="containsText" dxfId="3843" priority="4124" operator="containsText" text="Deleted">
      <formula>NOT(ISERROR(SEARCH("Deleted",G50)))</formula>
    </cfRule>
    <cfRule type="containsText" dxfId="3842" priority="4125" operator="containsText" text="In Danger of Falling Behind Target">
      <formula>NOT(ISERROR(SEARCH("In Danger of Falling Behind Target",G50)))</formula>
    </cfRule>
    <cfRule type="containsText" dxfId="3841" priority="4126" operator="containsText" text="Not yet due">
      <formula>NOT(ISERROR(SEARCH("Not yet due",G50)))</formula>
    </cfRule>
    <cfRule type="containsText" dxfId="3840" priority="4127" operator="containsText" text="Completed Behind Schedule">
      <formula>NOT(ISERROR(SEARCH("Completed Behind Schedule",G50)))</formula>
    </cfRule>
    <cfRule type="containsText" dxfId="3839" priority="4128" operator="containsText" text="Off Target">
      <formula>NOT(ISERROR(SEARCH("Off Target",G50)))</formula>
    </cfRule>
    <cfRule type="containsText" dxfId="3838" priority="4129" operator="containsText" text="In Danger of Falling Behind Target">
      <formula>NOT(ISERROR(SEARCH("In Danger of Falling Behind Target",G50)))</formula>
    </cfRule>
    <cfRule type="containsText" dxfId="3837" priority="4130" operator="containsText" text="On Track to be Achieved">
      <formula>NOT(ISERROR(SEARCH("On Track to be Achieved",G50)))</formula>
    </cfRule>
    <cfRule type="containsText" dxfId="3836" priority="4131" operator="containsText" text="Fully Achieved">
      <formula>NOT(ISERROR(SEARCH("Fully Achieved",G50)))</formula>
    </cfRule>
    <cfRule type="containsText" dxfId="3835" priority="4132" operator="containsText" text="Update not Provided">
      <formula>NOT(ISERROR(SEARCH("Update not Provided",G50)))</formula>
    </cfRule>
    <cfRule type="containsText" dxfId="3834" priority="4133" operator="containsText" text="Not yet due">
      <formula>NOT(ISERROR(SEARCH("Not yet due",G50)))</formula>
    </cfRule>
    <cfRule type="containsText" dxfId="3833" priority="4134" operator="containsText" text="Completed Behind Schedule">
      <formula>NOT(ISERROR(SEARCH("Completed Behind Schedule",G50)))</formula>
    </cfRule>
    <cfRule type="containsText" dxfId="3832" priority="4135" operator="containsText" text="Off Target">
      <formula>NOT(ISERROR(SEARCH("Off Target",G50)))</formula>
    </cfRule>
    <cfRule type="containsText" dxfId="3831" priority="4136" operator="containsText" text="In Danger of Falling Behind Target">
      <formula>NOT(ISERROR(SEARCH("In Danger of Falling Behind Target",G50)))</formula>
    </cfRule>
    <cfRule type="containsText" dxfId="3830" priority="4137" operator="containsText" text="On Track to be Achieved">
      <formula>NOT(ISERROR(SEARCH("On Track to be Achieved",G50)))</formula>
    </cfRule>
    <cfRule type="containsText" dxfId="3829" priority="4138" operator="containsText" text="Fully Achieved">
      <formula>NOT(ISERROR(SEARCH("Fully Achieved",G50)))</formula>
    </cfRule>
    <cfRule type="containsText" dxfId="3828" priority="4139" operator="containsText" text="Fully Achieved">
      <formula>NOT(ISERROR(SEARCH("Fully Achieved",G50)))</formula>
    </cfRule>
    <cfRule type="containsText" dxfId="3827" priority="4140" operator="containsText" text="Fully Achieved">
      <formula>NOT(ISERROR(SEARCH("Fully Achieved",G50)))</formula>
    </cfRule>
    <cfRule type="containsText" dxfId="3826" priority="4141" operator="containsText" text="Deferred">
      <formula>NOT(ISERROR(SEARCH("Deferred",G50)))</formula>
    </cfRule>
    <cfRule type="containsText" dxfId="3825" priority="4142" operator="containsText" text="Deleted">
      <formula>NOT(ISERROR(SEARCH("Deleted",G50)))</formula>
    </cfRule>
    <cfRule type="containsText" dxfId="3824" priority="4143" operator="containsText" text="In Danger of Falling Behind Target">
      <formula>NOT(ISERROR(SEARCH("In Danger of Falling Behind Target",G50)))</formula>
    </cfRule>
    <cfRule type="containsText" dxfId="3823" priority="4144" operator="containsText" text="Not yet due">
      <formula>NOT(ISERROR(SEARCH("Not yet due",G50)))</formula>
    </cfRule>
    <cfRule type="containsText" dxfId="3822" priority="4145" operator="containsText" text="Update not Provided">
      <formula>NOT(ISERROR(SEARCH("Update not Provided",G50)))</formula>
    </cfRule>
  </conditionalFormatting>
  <conditionalFormatting sqref="G61">
    <cfRule type="containsText" dxfId="3821" priority="4074" operator="containsText" text="On track to be achieved">
      <formula>NOT(ISERROR(SEARCH("On track to be achieved",G61)))</formula>
    </cfRule>
    <cfRule type="containsText" dxfId="3820" priority="4075" operator="containsText" text="Deferred">
      <formula>NOT(ISERROR(SEARCH("Deferred",G61)))</formula>
    </cfRule>
    <cfRule type="containsText" dxfId="3819" priority="4076" operator="containsText" text="Deleted">
      <formula>NOT(ISERROR(SEARCH("Deleted",G61)))</formula>
    </cfRule>
    <cfRule type="containsText" dxfId="3818" priority="4077" operator="containsText" text="In Danger of Falling Behind Target">
      <formula>NOT(ISERROR(SEARCH("In Danger of Falling Behind Target",G61)))</formula>
    </cfRule>
    <cfRule type="containsText" dxfId="3817" priority="4078" operator="containsText" text="Not yet due">
      <formula>NOT(ISERROR(SEARCH("Not yet due",G61)))</formula>
    </cfRule>
    <cfRule type="containsText" dxfId="3816" priority="4079" operator="containsText" text="Update not Provided">
      <formula>NOT(ISERROR(SEARCH("Update not Provided",G61)))</formula>
    </cfRule>
    <cfRule type="containsText" dxfId="3815" priority="4080" operator="containsText" text="Not yet due">
      <formula>NOT(ISERROR(SEARCH("Not yet due",G61)))</formula>
    </cfRule>
    <cfRule type="containsText" dxfId="3814" priority="4081" operator="containsText" text="Completed Behind Schedule">
      <formula>NOT(ISERROR(SEARCH("Completed Behind Schedule",G61)))</formula>
    </cfRule>
    <cfRule type="containsText" dxfId="3813" priority="4082" operator="containsText" text="Off Target">
      <formula>NOT(ISERROR(SEARCH("Off Target",G61)))</formula>
    </cfRule>
    <cfRule type="containsText" dxfId="3812" priority="4083" operator="containsText" text="On Track to be Achieved">
      <formula>NOT(ISERROR(SEARCH("On Track to be Achieved",G61)))</formula>
    </cfRule>
    <cfRule type="containsText" dxfId="3811" priority="4084" operator="containsText" text="Fully Achieved">
      <formula>NOT(ISERROR(SEARCH("Fully Achieved",G61)))</formula>
    </cfRule>
    <cfRule type="containsText" dxfId="3810" priority="4085" operator="containsText" text="Not yet due">
      <formula>NOT(ISERROR(SEARCH("Not yet due",G61)))</formula>
    </cfRule>
    <cfRule type="containsText" dxfId="3809" priority="4086" operator="containsText" text="Not Yet Due">
      <formula>NOT(ISERROR(SEARCH("Not Yet Due",G61)))</formula>
    </cfRule>
    <cfRule type="containsText" dxfId="3808" priority="4087" operator="containsText" text="Deferred">
      <formula>NOT(ISERROR(SEARCH("Deferred",G61)))</formula>
    </cfRule>
    <cfRule type="containsText" dxfId="3807" priority="4088" operator="containsText" text="Deleted">
      <formula>NOT(ISERROR(SEARCH("Deleted",G61)))</formula>
    </cfRule>
    <cfRule type="containsText" dxfId="3806" priority="4089" operator="containsText" text="In Danger of Falling Behind Target">
      <formula>NOT(ISERROR(SEARCH("In Danger of Falling Behind Target",G61)))</formula>
    </cfRule>
    <cfRule type="containsText" dxfId="3805" priority="4090" operator="containsText" text="Not yet due">
      <formula>NOT(ISERROR(SEARCH("Not yet due",G61)))</formula>
    </cfRule>
    <cfRule type="containsText" dxfId="3804" priority="4091" operator="containsText" text="Completed Behind Schedule">
      <formula>NOT(ISERROR(SEARCH("Completed Behind Schedule",G61)))</formula>
    </cfRule>
    <cfRule type="containsText" dxfId="3803" priority="4092" operator="containsText" text="Off Target">
      <formula>NOT(ISERROR(SEARCH("Off Target",G61)))</formula>
    </cfRule>
    <cfRule type="containsText" dxfId="3802" priority="4093" operator="containsText" text="In Danger of Falling Behind Target">
      <formula>NOT(ISERROR(SEARCH("In Danger of Falling Behind Target",G61)))</formula>
    </cfRule>
    <cfRule type="containsText" dxfId="3801" priority="4094" operator="containsText" text="On Track to be Achieved">
      <formula>NOT(ISERROR(SEARCH("On Track to be Achieved",G61)))</formula>
    </cfRule>
    <cfRule type="containsText" dxfId="3800" priority="4095" operator="containsText" text="Fully Achieved">
      <formula>NOT(ISERROR(SEARCH("Fully Achieved",G61)))</formula>
    </cfRule>
    <cfRule type="containsText" dxfId="3799" priority="4096" operator="containsText" text="Update not Provided">
      <formula>NOT(ISERROR(SEARCH("Update not Provided",G61)))</formula>
    </cfRule>
    <cfRule type="containsText" dxfId="3798" priority="4097" operator="containsText" text="Not yet due">
      <formula>NOT(ISERROR(SEARCH("Not yet due",G61)))</formula>
    </cfRule>
    <cfRule type="containsText" dxfId="3797" priority="4098" operator="containsText" text="Completed Behind Schedule">
      <formula>NOT(ISERROR(SEARCH("Completed Behind Schedule",G61)))</formula>
    </cfRule>
    <cfRule type="containsText" dxfId="3796" priority="4099" operator="containsText" text="Off Target">
      <formula>NOT(ISERROR(SEARCH("Off Target",G61)))</formula>
    </cfRule>
    <cfRule type="containsText" dxfId="3795" priority="4100" operator="containsText" text="In Danger of Falling Behind Target">
      <formula>NOT(ISERROR(SEARCH("In Danger of Falling Behind Target",G61)))</formula>
    </cfRule>
    <cfRule type="containsText" dxfId="3794" priority="4101" operator="containsText" text="On Track to be Achieved">
      <formula>NOT(ISERROR(SEARCH("On Track to be Achieved",G61)))</formula>
    </cfRule>
    <cfRule type="containsText" dxfId="3793" priority="4102" operator="containsText" text="Fully Achieved">
      <formula>NOT(ISERROR(SEARCH("Fully Achieved",G61)))</formula>
    </cfRule>
    <cfRule type="containsText" dxfId="3792" priority="4103" operator="containsText" text="Fully Achieved">
      <formula>NOT(ISERROR(SEARCH("Fully Achieved",G61)))</formula>
    </cfRule>
    <cfRule type="containsText" dxfId="3791" priority="4104" operator="containsText" text="Fully Achieved">
      <formula>NOT(ISERROR(SEARCH("Fully Achieved",G61)))</formula>
    </cfRule>
    <cfRule type="containsText" dxfId="3790" priority="4105" operator="containsText" text="Deferred">
      <formula>NOT(ISERROR(SEARCH("Deferred",G61)))</formula>
    </cfRule>
    <cfRule type="containsText" dxfId="3789" priority="4106" operator="containsText" text="Deleted">
      <formula>NOT(ISERROR(SEARCH("Deleted",G61)))</formula>
    </cfRule>
    <cfRule type="containsText" dxfId="3788" priority="4107" operator="containsText" text="In Danger of Falling Behind Target">
      <formula>NOT(ISERROR(SEARCH("In Danger of Falling Behind Target",G61)))</formula>
    </cfRule>
    <cfRule type="containsText" dxfId="3787" priority="4108" operator="containsText" text="Not yet due">
      <formula>NOT(ISERROR(SEARCH("Not yet due",G61)))</formula>
    </cfRule>
    <cfRule type="containsText" dxfId="3786" priority="4109" operator="containsText" text="Update not Provided">
      <formula>NOT(ISERROR(SEARCH("Update not Provided",G61)))</formula>
    </cfRule>
  </conditionalFormatting>
  <conditionalFormatting sqref="G69:G71">
    <cfRule type="containsText" dxfId="3785" priority="4038" operator="containsText" text="On track to be achieved">
      <formula>NOT(ISERROR(SEARCH("On track to be achieved",G69)))</formula>
    </cfRule>
    <cfRule type="containsText" dxfId="3784" priority="4039" operator="containsText" text="Deferred">
      <formula>NOT(ISERROR(SEARCH("Deferred",G69)))</formula>
    </cfRule>
    <cfRule type="containsText" dxfId="3783" priority="4040" operator="containsText" text="Deleted">
      <formula>NOT(ISERROR(SEARCH("Deleted",G69)))</formula>
    </cfRule>
    <cfRule type="containsText" dxfId="3782" priority="4041" operator="containsText" text="In Danger of Falling Behind Target">
      <formula>NOT(ISERROR(SEARCH("In Danger of Falling Behind Target",G69)))</formula>
    </cfRule>
    <cfRule type="containsText" dxfId="3781" priority="4042" operator="containsText" text="Not yet due">
      <formula>NOT(ISERROR(SEARCH("Not yet due",G69)))</formula>
    </cfRule>
    <cfRule type="containsText" dxfId="3780" priority="4043" operator="containsText" text="Update not Provided">
      <formula>NOT(ISERROR(SEARCH("Update not Provided",G69)))</formula>
    </cfRule>
    <cfRule type="containsText" dxfId="3779" priority="4044" operator="containsText" text="Not yet due">
      <formula>NOT(ISERROR(SEARCH("Not yet due",G69)))</formula>
    </cfRule>
    <cfRule type="containsText" dxfId="3778" priority="4045" operator="containsText" text="Completed Behind Schedule">
      <formula>NOT(ISERROR(SEARCH("Completed Behind Schedule",G69)))</formula>
    </cfRule>
    <cfRule type="containsText" dxfId="3777" priority="4046" operator="containsText" text="Off Target">
      <formula>NOT(ISERROR(SEARCH("Off Target",G69)))</formula>
    </cfRule>
    <cfRule type="containsText" dxfId="3776" priority="4047" operator="containsText" text="On Track to be Achieved">
      <formula>NOT(ISERROR(SEARCH("On Track to be Achieved",G69)))</formula>
    </cfRule>
    <cfRule type="containsText" dxfId="3775" priority="4048" operator="containsText" text="Fully Achieved">
      <formula>NOT(ISERROR(SEARCH("Fully Achieved",G69)))</formula>
    </cfRule>
    <cfRule type="containsText" dxfId="3774" priority="4049" operator="containsText" text="Not yet due">
      <formula>NOT(ISERROR(SEARCH("Not yet due",G69)))</formula>
    </cfRule>
    <cfRule type="containsText" dxfId="3773" priority="4050" operator="containsText" text="Not Yet Due">
      <formula>NOT(ISERROR(SEARCH("Not Yet Due",G69)))</formula>
    </cfRule>
    <cfRule type="containsText" dxfId="3772" priority="4051" operator="containsText" text="Deferred">
      <formula>NOT(ISERROR(SEARCH("Deferred",G69)))</formula>
    </cfRule>
    <cfRule type="containsText" dxfId="3771" priority="4052" operator="containsText" text="Deleted">
      <formula>NOT(ISERROR(SEARCH("Deleted",G69)))</formula>
    </cfRule>
    <cfRule type="containsText" dxfId="3770" priority="4053" operator="containsText" text="In Danger of Falling Behind Target">
      <formula>NOT(ISERROR(SEARCH("In Danger of Falling Behind Target",G69)))</formula>
    </cfRule>
    <cfRule type="containsText" dxfId="3769" priority="4054" operator="containsText" text="Not yet due">
      <formula>NOT(ISERROR(SEARCH("Not yet due",G69)))</formula>
    </cfRule>
    <cfRule type="containsText" dxfId="3768" priority="4055" operator="containsText" text="Completed Behind Schedule">
      <formula>NOT(ISERROR(SEARCH("Completed Behind Schedule",G69)))</formula>
    </cfRule>
    <cfRule type="containsText" dxfId="3767" priority="4056" operator="containsText" text="Off Target">
      <formula>NOT(ISERROR(SEARCH("Off Target",G69)))</formula>
    </cfRule>
    <cfRule type="containsText" dxfId="3766" priority="4057" operator="containsText" text="In Danger of Falling Behind Target">
      <formula>NOT(ISERROR(SEARCH("In Danger of Falling Behind Target",G69)))</formula>
    </cfRule>
    <cfRule type="containsText" dxfId="3765" priority="4058" operator="containsText" text="On Track to be Achieved">
      <formula>NOT(ISERROR(SEARCH("On Track to be Achieved",G69)))</formula>
    </cfRule>
    <cfRule type="containsText" dxfId="3764" priority="4059" operator="containsText" text="Fully Achieved">
      <formula>NOT(ISERROR(SEARCH("Fully Achieved",G69)))</formula>
    </cfRule>
    <cfRule type="containsText" dxfId="3763" priority="4060" operator="containsText" text="Update not Provided">
      <formula>NOT(ISERROR(SEARCH("Update not Provided",G69)))</formula>
    </cfRule>
    <cfRule type="containsText" dxfId="3762" priority="4061" operator="containsText" text="Not yet due">
      <formula>NOT(ISERROR(SEARCH("Not yet due",G69)))</formula>
    </cfRule>
    <cfRule type="containsText" dxfId="3761" priority="4062" operator="containsText" text="Completed Behind Schedule">
      <formula>NOT(ISERROR(SEARCH("Completed Behind Schedule",G69)))</formula>
    </cfRule>
    <cfRule type="containsText" dxfId="3760" priority="4063" operator="containsText" text="Off Target">
      <formula>NOT(ISERROR(SEARCH("Off Target",G69)))</formula>
    </cfRule>
    <cfRule type="containsText" dxfId="3759" priority="4064" operator="containsText" text="In Danger of Falling Behind Target">
      <formula>NOT(ISERROR(SEARCH("In Danger of Falling Behind Target",G69)))</formula>
    </cfRule>
    <cfRule type="containsText" dxfId="3758" priority="4065" operator="containsText" text="On Track to be Achieved">
      <formula>NOT(ISERROR(SEARCH("On Track to be Achieved",G69)))</formula>
    </cfRule>
    <cfRule type="containsText" dxfId="3757" priority="4066" operator="containsText" text="Fully Achieved">
      <formula>NOT(ISERROR(SEARCH("Fully Achieved",G69)))</formula>
    </cfRule>
    <cfRule type="containsText" dxfId="3756" priority="4067" operator="containsText" text="Fully Achieved">
      <formula>NOT(ISERROR(SEARCH("Fully Achieved",G69)))</formula>
    </cfRule>
    <cfRule type="containsText" dxfId="3755" priority="4068" operator="containsText" text="Fully Achieved">
      <formula>NOT(ISERROR(SEARCH("Fully Achieved",G69)))</formula>
    </cfRule>
    <cfRule type="containsText" dxfId="3754" priority="4069" operator="containsText" text="Deferred">
      <formula>NOT(ISERROR(SEARCH("Deferred",G69)))</formula>
    </cfRule>
    <cfRule type="containsText" dxfId="3753" priority="4070" operator="containsText" text="Deleted">
      <formula>NOT(ISERROR(SEARCH("Deleted",G69)))</formula>
    </cfRule>
    <cfRule type="containsText" dxfId="3752" priority="4071" operator="containsText" text="In Danger of Falling Behind Target">
      <formula>NOT(ISERROR(SEARCH("In Danger of Falling Behind Target",G69)))</formula>
    </cfRule>
    <cfRule type="containsText" dxfId="3751" priority="4072" operator="containsText" text="Not yet due">
      <formula>NOT(ISERROR(SEARCH("Not yet due",G69)))</formula>
    </cfRule>
    <cfRule type="containsText" dxfId="3750" priority="4073" operator="containsText" text="Update not Provided">
      <formula>NOT(ISERROR(SEARCH("Update not Provided",G69)))</formula>
    </cfRule>
  </conditionalFormatting>
  <conditionalFormatting sqref="G74">
    <cfRule type="containsText" dxfId="3749" priority="4002" operator="containsText" text="On track to be achieved">
      <formula>NOT(ISERROR(SEARCH("On track to be achieved",G74)))</formula>
    </cfRule>
    <cfRule type="containsText" dxfId="3748" priority="4003" operator="containsText" text="Deferred">
      <formula>NOT(ISERROR(SEARCH("Deferred",G74)))</formula>
    </cfRule>
    <cfRule type="containsText" dxfId="3747" priority="4004" operator="containsText" text="Deleted">
      <formula>NOT(ISERROR(SEARCH("Deleted",G74)))</formula>
    </cfRule>
    <cfRule type="containsText" dxfId="3746" priority="4005" operator="containsText" text="In Danger of Falling Behind Target">
      <formula>NOT(ISERROR(SEARCH("In Danger of Falling Behind Target",G74)))</formula>
    </cfRule>
    <cfRule type="containsText" dxfId="3745" priority="4006" operator="containsText" text="Not yet due">
      <formula>NOT(ISERROR(SEARCH("Not yet due",G74)))</formula>
    </cfRule>
    <cfRule type="containsText" dxfId="3744" priority="4007" operator="containsText" text="Update not Provided">
      <formula>NOT(ISERROR(SEARCH("Update not Provided",G74)))</formula>
    </cfRule>
    <cfRule type="containsText" dxfId="3743" priority="4008" operator="containsText" text="Not yet due">
      <formula>NOT(ISERROR(SEARCH("Not yet due",G74)))</formula>
    </cfRule>
    <cfRule type="containsText" dxfId="3742" priority="4009" operator="containsText" text="Completed Behind Schedule">
      <formula>NOT(ISERROR(SEARCH("Completed Behind Schedule",G74)))</formula>
    </cfRule>
    <cfRule type="containsText" dxfId="3741" priority="4010" operator="containsText" text="Off Target">
      <formula>NOT(ISERROR(SEARCH("Off Target",G74)))</formula>
    </cfRule>
    <cfRule type="containsText" dxfId="3740" priority="4011" operator="containsText" text="On Track to be Achieved">
      <formula>NOT(ISERROR(SEARCH("On Track to be Achieved",G74)))</formula>
    </cfRule>
    <cfRule type="containsText" dxfId="3739" priority="4012" operator="containsText" text="Fully Achieved">
      <formula>NOT(ISERROR(SEARCH("Fully Achieved",G74)))</formula>
    </cfRule>
    <cfRule type="containsText" dxfId="3738" priority="4013" operator="containsText" text="Not yet due">
      <formula>NOT(ISERROR(SEARCH("Not yet due",G74)))</formula>
    </cfRule>
    <cfRule type="containsText" dxfId="3737" priority="4014" operator="containsText" text="Not Yet Due">
      <formula>NOT(ISERROR(SEARCH("Not Yet Due",G74)))</formula>
    </cfRule>
    <cfRule type="containsText" dxfId="3736" priority="4015" operator="containsText" text="Deferred">
      <formula>NOT(ISERROR(SEARCH("Deferred",G74)))</formula>
    </cfRule>
    <cfRule type="containsText" dxfId="3735" priority="4016" operator="containsText" text="Deleted">
      <formula>NOT(ISERROR(SEARCH("Deleted",G74)))</formula>
    </cfRule>
    <cfRule type="containsText" dxfId="3734" priority="4017" operator="containsText" text="In Danger of Falling Behind Target">
      <formula>NOT(ISERROR(SEARCH("In Danger of Falling Behind Target",G74)))</formula>
    </cfRule>
    <cfRule type="containsText" dxfId="3733" priority="4018" operator="containsText" text="Not yet due">
      <formula>NOT(ISERROR(SEARCH("Not yet due",G74)))</formula>
    </cfRule>
    <cfRule type="containsText" dxfId="3732" priority="4019" operator="containsText" text="Completed Behind Schedule">
      <formula>NOT(ISERROR(SEARCH("Completed Behind Schedule",G74)))</formula>
    </cfRule>
    <cfRule type="containsText" dxfId="3731" priority="4020" operator="containsText" text="Off Target">
      <formula>NOT(ISERROR(SEARCH("Off Target",G74)))</formula>
    </cfRule>
    <cfRule type="containsText" dxfId="3730" priority="4021" operator="containsText" text="In Danger of Falling Behind Target">
      <formula>NOT(ISERROR(SEARCH("In Danger of Falling Behind Target",G74)))</formula>
    </cfRule>
    <cfRule type="containsText" dxfId="3729" priority="4022" operator="containsText" text="On Track to be Achieved">
      <formula>NOT(ISERROR(SEARCH("On Track to be Achieved",G74)))</formula>
    </cfRule>
    <cfRule type="containsText" dxfId="3728" priority="4023" operator="containsText" text="Fully Achieved">
      <formula>NOT(ISERROR(SEARCH("Fully Achieved",G74)))</formula>
    </cfRule>
    <cfRule type="containsText" dxfId="3727" priority="4024" operator="containsText" text="Update not Provided">
      <formula>NOT(ISERROR(SEARCH("Update not Provided",G74)))</formula>
    </cfRule>
    <cfRule type="containsText" dxfId="3726" priority="4025" operator="containsText" text="Not yet due">
      <formula>NOT(ISERROR(SEARCH("Not yet due",G74)))</formula>
    </cfRule>
    <cfRule type="containsText" dxfId="3725" priority="4026" operator="containsText" text="Completed Behind Schedule">
      <formula>NOT(ISERROR(SEARCH("Completed Behind Schedule",G74)))</formula>
    </cfRule>
    <cfRule type="containsText" dxfId="3724" priority="4027" operator="containsText" text="Off Target">
      <formula>NOT(ISERROR(SEARCH("Off Target",G74)))</formula>
    </cfRule>
    <cfRule type="containsText" dxfId="3723" priority="4028" operator="containsText" text="In Danger of Falling Behind Target">
      <formula>NOT(ISERROR(SEARCH("In Danger of Falling Behind Target",G74)))</formula>
    </cfRule>
    <cfRule type="containsText" dxfId="3722" priority="4029" operator="containsText" text="On Track to be Achieved">
      <formula>NOT(ISERROR(SEARCH("On Track to be Achieved",G74)))</formula>
    </cfRule>
    <cfRule type="containsText" dxfId="3721" priority="4030" operator="containsText" text="Fully Achieved">
      <formula>NOT(ISERROR(SEARCH("Fully Achieved",G74)))</formula>
    </cfRule>
    <cfRule type="containsText" dxfId="3720" priority="4031" operator="containsText" text="Fully Achieved">
      <formula>NOT(ISERROR(SEARCH("Fully Achieved",G74)))</formula>
    </cfRule>
    <cfRule type="containsText" dxfId="3719" priority="4032" operator="containsText" text="Fully Achieved">
      <formula>NOT(ISERROR(SEARCH("Fully Achieved",G74)))</formula>
    </cfRule>
    <cfRule type="containsText" dxfId="3718" priority="4033" operator="containsText" text="Deferred">
      <formula>NOT(ISERROR(SEARCH("Deferred",G74)))</formula>
    </cfRule>
    <cfRule type="containsText" dxfId="3717" priority="4034" operator="containsText" text="Deleted">
      <formula>NOT(ISERROR(SEARCH("Deleted",G74)))</formula>
    </cfRule>
    <cfRule type="containsText" dxfId="3716" priority="4035" operator="containsText" text="In Danger of Falling Behind Target">
      <formula>NOT(ISERROR(SEARCH("In Danger of Falling Behind Target",G74)))</formula>
    </cfRule>
    <cfRule type="containsText" dxfId="3715" priority="4036" operator="containsText" text="Not yet due">
      <formula>NOT(ISERROR(SEARCH("Not yet due",G74)))</formula>
    </cfRule>
    <cfRule type="containsText" dxfId="3714" priority="4037" operator="containsText" text="Update not Provided">
      <formula>NOT(ISERROR(SEARCH("Update not Provided",G74)))</formula>
    </cfRule>
  </conditionalFormatting>
  <conditionalFormatting sqref="G83">
    <cfRule type="containsText" dxfId="3713" priority="3966" operator="containsText" text="On track to be achieved">
      <formula>NOT(ISERROR(SEARCH("On track to be achieved",G83)))</formula>
    </cfRule>
    <cfRule type="containsText" dxfId="3712" priority="3967" operator="containsText" text="Deferred">
      <formula>NOT(ISERROR(SEARCH("Deferred",G83)))</formula>
    </cfRule>
    <cfRule type="containsText" dxfId="3711" priority="3968" operator="containsText" text="Deleted">
      <formula>NOT(ISERROR(SEARCH("Deleted",G83)))</formula>
    </cfRule>
    <cfRule type="containsText" dxfId="3710" priority="3969" operator="containsText" text="In Danger of Falling Behind Target">
      <formula>NOT(ISERROR(SEARCH("In Danger of Falling Behind Target",G83)))</formula>
    </cfRule>
    <cfRule type="containsText" dxfId="3709" priority="3970" operator="containsText" text="Not yet due">
      <formula>NOT(ISERROR(SEARCH("Not yet due",G83)))</formula>
    </cfRule>
    <cfRule type="containsText" dxfId="3708" priority="3971" operator="containsText" text="Update not Provided">
      <formula>NOT(ISERROR(SEARCH("Update not Provided",G83)))</formula>
    </cfRule>
    <cfRule type="containsText" dxfId="3707" priority="3972" operator="containsText" text="Not yet due">
      <formula>NOT(ISERROR(SEARCH("Not yet due",G83)))</formula>
    </cfRule>
    <cfRule type="containsText" dxfId="3706" priority="3973" operator="containsText" text="Completed Behind Schedule">
      <formula>NOT(ISERROR(SEARCH("Completed Behind Schedule",G83)))</formula>
    </cfRule>
    <cfRule type="containsText" dxfId="3705" priority="3974" operator="containsText" text="Off Target">
      <formula>NOT(ISERROR(SEARCH("Off Target",G83)))</formula>
    </cfRule>
    <cfRule type="containsText" dxfId="3704" priority="3975" operator="containsText" text="On Track to be Achieved">
      <formula>NOT(ISERROR(SEARCH("On Track to be Achieved",G83)))</formula>
    </cfRule>
    <cfRule type="containsText" dxfId="3703" priority="3976" operator="containsText" text="Fully Achieved">
      <formula>NOT(ISERROR(SEARCH("Fully Achieved",G83)))</formula>
    </cfRule>
    <cfRule type="containsText" dxfId="3702" priority="3977" operator="containsText" text="Not yet due">
      <formula>NOT(ISERROR(SEARCH("Not yet due",G83)))</formula>
    </cfRule>
    <cfRule type="containsText" dxfId="3701" priority="3978" operator="containsText" text="Not Yet Due">
      <formula>NOT(ISERROR(SEARCH("Not Yet Due",G83)))</formula>
    </cfRule>
    <cfRule type="containsText" dxfId="3700" priority="3979" operator="containsText" text="Deferred">
      <formula>NOT(ISERROR(SEARCH("Deferred",G83)))</formula>
    </cfRule>
    <cfRule type="containsText" dxfId="3699" priority="3980" operator="containsText" text="Deleted">
      <formula>NOT(ISERROR(SEARCH("Deleted",G83)))</formula>
    </cfRule>
    <cfRule type="containsText" dxfId="3698" priority="3981" operator="containsText" text="In Danger of Falling Behind Target">
      <formula>NOT(ISERROR(SEARCH("In Danger of Falling Behind Target",G83)))</formula>
    </cfRule>
    <cfRule type="containsText" dxfId="3697" priority="3982" operator="containsText" text="Not yet due">
      <formula>NOT(ISERROR(SEARCH("Not yet due",G83)))</formula>
    </cfRule>
    <cfRule type="containsText" dxfId="3696" priority="3983" operator="containsText" text="Completed Behind Schedule">
      <formula>NOT(ISERROR(SEARCH("Completed Behind Schedule",G83)))</formula>
    </cfRule>
    <cfRule type="containsText" dxfId="3695" priority="3984" operator="containsText" text="Off Target">
      <formula>NOT(ISERROR(SEARCH("Off Target",G83)))</formula>
    </cfRule>
    <cfRule type="containsText" dxfId="3694" priority="3985" operator="containsText" text="In Danger of Falling Behind Target">
      <formula>NOT(ISERROR(SEARCH("In Danger of Falling Behind Target",G83)))</formula>
    </cfRule>
    <cfRule type="containsText" dxfId="3693" priority="3986" operator="containsText" text="On Track to be Achieved">
      <formula>NOT(ISERROR(SEARCH("On Track to be Achieved",G83)))</formula>
    </cfRule>
    <cfRule type="containsText" dxfId="3692" priority="3987" operator="containsText" text="Fully Achieved">
      <formula>NOT(ISERROR(SEARCH("Fully Achieved",G83)))</formula>
    </cfRule>
    <cfRule type="containsText" dxfId="3691" priority="3988" operator="containsText" text="Update not Provided">
      <formula>NOT(ISERROR(SEARCH("Update not Provided",G83)))</formula>
    </cfRule>
    <cfRule type="containsText" dxfId="3690" priority="3989" operator="containsText" text="Not yet due">
      <formula>NOT(ISERROR(SEARCH("Not yet due",G83)))</formula>
    </cfRule>
    <cfRule type="containsText" dxfId="3689" priority="3990" operator="containsText" text="Completed Behind Schedule">
      <formula>NOT(ISERROR(SEARCH("Completed Behind Schedule",G83)))</formula>
    </cfRule>
    <cfRule type="containsText" dxfId="3688" priority="3991" operator="containsText" text="Off Target">
      <formula>NOT(ISERROR(SEARCH("Off Target",G83)))</formula>
    </cfRule>
    <cfRule type="containsText" dxfId="3687" priority="3992" operator="containsText" text="In Danger of Falling Behind Target">
      <formula>NOT(ISERROR(SEARCH("In Danger of Falling Behind Target",G83)))</formula>
    </cfRule>
    <cfRule type="containsText" dxfId="3686" priority="3993" operator="containsText" text="On Track to be Achieved">
      <formula>NOT(ISERROR(SEARCH("On Track to be Achieved",G83)))</formula>
    </cfRule>
    <cfRule type="containsText" dxfId="3685" priority="3994" operator="containsText" text="Fully Achieved">
      <formula>NOT(ISERROR(SEARCH("Fully Achieved",G83)))</formula>
    </cfRule>
    <cfRule type="containsText" dxfId="3684" priority="3995" operator="containsText" text="Fully Achieved">
      <formula>NOT(ISERROR(SEARCH("Fully Achieved",G83)))</formula>
    </cfRule>
    <cfRule type="containsText" dxfId="3683" priority="3996" operator="containsText" text="Fully Achieved">
      <formula>NOT(ISERROR(SEARCH("Fully Achieved",G83)))</formula>
    </cfRule>
    <cfRule type="containsText" dxfId="3682" priority="3997" operator="containsText" text="Deferred">
      <formula>NOT(ISERROR(SEARCH("Deferred",G83)))</formula>
    </cfRule>
    <cfRule type="containsText" dxfId="3681" priority="3998" operator="containsText" text="Deleted">
      <formula>NOT(ISERROR(SEARCH("Deleted",G83)))</formula>
    </cfRule>
    <cfRule type="containsText" dxfId="3680" priority="3999" operator="containsText" text="In Danger of Falling Behind Target">
      <formula>NOT(ISERROR(SEARCH("In Danger of Falling Behind Target",G83)))</formula>
    </cfRule>
    <cfRule type="containsText" dxfId="3679" priority="4000" operator="containsText" text="Not yet due">
      <formula>NOT(ISERROR(SEARCH("Not yet due",G83)))</formula>
    </cfRule>
    <cfRule type="containsText" dxfId="3678" priority="4001" operator="containsText" text="Update not Provided">
      <formula>NOT(ISERROR(SEARCH("Update not Provided",G83)))</formula>
    </cfRule>
  </conditionalFormatting>
  <conditionalFormatting sqref="G86">
    <cfRule type="containsText" dxfId="3677" priority="3930" operator="containsText" text="On track to be achieved">
      <formula>NOT(ISERROR(SEARCH("On track to be achieved",G86)))</formula>
    </cfRule>
    <cfRule type="containsText" dxfId="3676" priority="3931" operator="containsText" text="Deferred">
      <formula>NOT(ISERROR(SEARCH("Deferred",G86)))</formula>
    </cfRule>
    <cfRule type="containsText" dxfId="3675" priority="3932" operator="containsText" text="Deleted">
      <formula>NOT(ISERROR(SEARCH("Deleted",G86)))</formula>
    </cfRule>
    <cfRule type="containsText" dxfId="3674" priority="3933" operator="containsText" text="In Danger of Falling Behind Target">
      <formula>NOT(ISERROR(SEARCH("In Danger of Falling Behind Target",G86)))</formula>
    </cfRule>
    <cfRule type="containsText" dxfId="3673" priority="3934" operator="containsText" text="Not yet due">
      <formula>NOT(ISERROR(SEARCH("Not yet due",G86)))</formula>
    </cfRule>
    <cfRule type="containsText" dxfId="3672" priority="3935" operator="containsText" text="Update not Provided">
      <formula>NOT(ISERROR(SEARCH("Update not Provided",G86)))</formula>
    </cfRule>
    <cfRule type="containsText" dxfId="3671" priority="3936" operator="containsText" text="Not yet due">
      <formula>NOT(ISERROR(SEARCH("Not yet due",G86)))</formula>
    </cfRule>
    <cfRule type="containsText" dxfId="3670" priority="3937" operator="containsText" text="Completed Behind Schedule">
      <formula>NOT(ISERROR(SEARCH("Completed Behind Schedule",G86)))</formula>
    </cfRule>
    <cfRule type="containsText" dxfId="3669" priority="3938" operator="containsText" text="Off Target">
      <formula>NOT(ISERROR(SEARCH("Off Target",G86)))</formula>
    </cfRule>
    <cfRule type="containsText" dxfId="3668" priority="3939" operator="containsText" text="On Track to be Achieved">
      <formula>NOT(ISERROR(SEARCH("On Track to be Achieved",G86)))</formula>
    </cfRule>
    <cfRule type="containsText" dxfId="3667" priority="3940" operator="containsText" text="Fully Achieved">
      <formula>NOT(ISERROR(SEARCH("Fully Achieved",G86)))</formula>
    </cfRule>
    <cfRule type="containsText" dxfId="3666" priority="3941" operator="containsText" text="Not yet due">
      <formula>NOT(ISERROR(SEARCH("Not yet due",G86)))</formula>
    </cfRule>
    <cfRule type="containsText" dxfId="3665" priority="3942" operator="containsText" text="Not Yet Due">
      <formula>NOT(ISERROR(SEARCH("Not Yet Due",G86)))</formula>
    </cfRule>
    <cfRule type="containsText" dxfId="3664" priority="3943" operator="containsText" text="Deferred">
      <formula>NOT(ISERROR(SEARCH("Deferred",G86)))</formula>
    </cfRule>
    <cfRule type="containsText" dxfId="3663" priority="3944" operator="containsText" text="Deleted">
      <formula>NOT(ISERROR(SEARCH("Deleted",G86)))</formula>
    </cfRule>
    <cfRule type="containsText" dxfId="3662" priority="3945" operator="containsText" text="In Danger of Falling Behind Target">
      <formula>NOT(ISERROR(SEARCH("In Danger of Falling Behind Target",G86)))</formula>
    </cfRule>
    <cfRule type="containsText" dxfId="3661" priority="3946" operator="containsText" text="Not yet due">
      <formula>NOT(ISERROR(SEARCH("Not yet due",G86)))</formula>
    </cfRule>
    <cfRule type="containsText" dxfId="3660" priority="3947" operator="containsText" text="Completed Behind Schedule">
      <formula>NOT(ISERROR(SEARCH("Completed Behind Schedule",G86)))</formula>
    </cfRule>
    <cfRule type="containsText" dxfId="3659" priority="3948" operator="containsText" text="Off Target">
      <formula>NOT(ISERROR(SEARCH("Off Target",G86)))</formula>
    </cfRule>
    <cfRule type="containsText" dxfId="3658" priority="3949" operator="containsText" text="In Danger of Falling Behind Target">
      <formula>NOT(ISERROR(SEARCH("In Danger of Falling Behind Target",G86)))</formula>
    </cfRule>
    <cfRule type="containsText" dxfId="3657" priority="3950" operator="containsText" text="On Track to be Achieved">
      <formula>NOT(ISERROR(SEARCH("On Track to be Achieved",G86)))</formula>
    </cfRule>
    <cfRule type="containsText" dxfId="3656" priority="3951" operator="containsText" text="Fully Achieved">
      <formula>NOT(ISERROR(SEARCH("Fully Achieved",G86)))</formula>
    </cfRule>
    <cfRule type="containsText" dxfId="3655" priority="3952" operator="containsText" text="Update not Provided">
      <formula>NOT(ISERROR(SEARCH("Update not Provided",G86)))</formula>
    </cfRule>
    <cfRule type="containsText" dxfId="3654" priority="3953" operator="containsText" text="Not yet due">
      <formula>NOT(ISERROR(SEARCH("Not yet due",G86)))</formula>
    </cfRule>
    <cfRule type="containsText" dxfId="3653" priority="3954" operator="containsText" text="Completed Behind Schedule">
      <formula>NOT(ISERROR(SEARCH("Completed Behind Schedule",G86)))</formula>
    </cfRule>
    <cfRule type="containsText" dxfId="3652" priority="3955" operator="containsText" text="Off Target">
      <formula>NOT(ISERROR(SEARCH("Off Target",G86)))</formula>
    </cfRule>
    <cfRule type="containsText" dxfId="3651" priority="3956" operator="containsText" text="In Danger of Falling Behind Target">
      <formula>NOT(ISERROR(SEARCH("In Danger of Falling Behind Target",G86)))</formula>
    </cfRule>
    <cfRule type="containsText" dxfId="3650" priority="3957" operator="containsText" text="On Track to be Achieved">
      <formula>NOT(ISERROR(SEARCH("On Track to be Achieved",G86)))</formula>
    </cfRule>
    <cfRule type="containsText" dxfId="3649" priority="3958" operator="containsText" text="Fully Achieved">
      <formula>NOT(ISERROR(SEARCH("Fully Achieved",G86)))</formula>
    </cfRule>
    <cfRule type="containsText" dxfId="3648" priority="3959" operator="containsText" text="Fully Achieved">
      <formula>NOT(ISERROR(SEARCH("Fully Achieved",G86)))</formula>
    </cfRule>
    <cfRule type="containsText" dxfId="3647" priority="3960" operator="containsText" text="Fully Achieved">
      <formula>NOT(ISERROR(SEARCH("Fully Achieved",G86)))</formula>
    </cfRule>
    <cfRule type="containsText" dxfId="3646" priority="3961" operator="containsText" text="Deferred">
      <formula>NOT(ISERROR(SEARCH("Deferred",G86)))</formula>
    </cfRule>
    <cfRule type="containsText" dxfId="3645" priority="3962" operator="containsText" text="Deleted">
      <formula>NOT(ISERROR(SEARCH("Deleted",G86)))</formula>
    </cfRule>
    <cfRule type="containsText" dxfId="3644" priority="3963" operator="containsText" text="In Danger of Falling Behind Target">
      <formula>NOT(ISERROR(SEARCH("In Danger of Falling Behind Target",G86)))</formula>
    </cfRule>
    <cfRule type="containsText" dxfId="3643" priority="3964" operator="containsText" text="Not yet due">
      <formula>NOT(ISERROR(SEARCH("Not yet due",G86)))</formula>
    </cfRule>
    <cfRule type="containsText" dxfId="3642" priority="3965" operator="containsText" text="Update not Provided">
      <formula>NOT(ISERROR(SEARCH("Update not Provided",G86)))</formula>
    </cfRule>
  </conditionalFormatting>
  <conditionalFormatting sqref="G98">
    <cfRule type="containsText" dxfId="3641" priority="3894" operator="containsText" text="On track to be achieved">
      <formula>NOT(ISERROR(SEARCH("On track to be achieved",G98)))</formula>
    </cfRule>
    <cfRule type="containsText" dxfId="3640" priority="3895" operator="containsText" text="Deferred">
      <formula>NOT(ISERROR(SEARCH("Deferred",G98)))</formula>
    </cfRule>
    <cfRule type="containsText" dxfId="3639" priority="3896" operator="containsText" text="Deleted">
      <formula>NOT(ISERROR(SEARCH("Deleted",G98)))</formula>
    </cfRule>
    <cfRule type="containsText" dxfId="3638" priority="3897" operator="containsText" text="In Danger of Falling Behind Target">
      <formula>NOT(ISERROR(SEARCH("In Danger of Falling Behind Target",G98)))</formula>
    </cfRule>
    <cfRule type="containsText" dxfId="3637" priority="3898" operator="containsText" text="Not yet due">
      <formula>NOT(ISERROR(SEARCH("Not yet due",G98)))</formula>
    </cfRule>
    <cfRule type="containsText" dxfId="3636" priority="3899" operator="containsText" text="Update not Provided">
      <formula>NOT(ISERROR(SEARCH("Update not Provided",G98)))</formula>
    </cfRule>
    <cfRule type="containsText" dxfId="3635" priority="3900" operator="containsText" text="Not yet due">
      <formula>NOT(ISERROR(SEARCH("Not yet due",G98)))</formula>
    </cfRule>
    <cfRule type="containsText" dxfId="3634" priority="3901" operator="containsText" text="Completed Behind Schedule">
      <formula>NOT(ISERROR(SEARCH("Completed Behind Schedule",G98)))</formula>
    </cfRule>
    <cfRule type="containsText" dxfId="3633" priority="3902" operator="containsText" text="Off Target">
      <formula>NOT(ISERROR(SEARCH("Off Target",G98)))</formula>
    </cfRule>
    <cfRule type="containsText" dxfId="3632" priority="3903" operator="containsText" text="On Track to be Achieved">
      <formula>NOT(ISERROR(SEARCH("On Track to be Achieved",G98)))</formula>
    </cfRule>
    <cfRule type="containsText" dxfId="3631" priority="3904" operator="containsText" text="Fully Achieved">
      <formula>NOT(ISERROR(SEARCH("Fully Achieved",G98)))</formula>
    </cfRule>
    <cfRule type="containsText" dxfId="3630" priority="3905" operator="containsText" text="Not yet due">
      <formula>NOT(ISERROR(SEARCH("Not yet due",G98)))</formula>
    </cfRule>
    <cfRule type="containsText" dxfId="3629" priority="3906" operator="containsText" text="Not Yet Due">
      <formula>NOT(ISERROR(SEARCH("Not Yet Due",G98)))</formula>
    </cfRule>
    <cfRule type="containsText" dxfId="3628" priority="3907" operator="containsText" text="Deferred">
      <formula>NOT(ISERROR(SEARCH("Deferred",G98)))</formula>
    </cfRule>
    <cfRule type="containsText" dxfId="3627" priority="3908" operator="containsText" text="Deleted">
      <formula>NOT(ISERROR(SEARCH("Deleted",G98)))</formula>
    </cfRule>
    <cfRule type="containsText" dxfId="3626" priority="3909" operator="containsText" text="In Danger of Falling Behind Target">
      <formula>NOT(ISERROR(SEARCH("In Danger of Falling Behind Target",G98)))</formula>
    </cfRule>
    <cfRule type="containsText" dxfId="3625" priority="3910" operator="containsText" text="Not yet due">
      <formula>NOT(ISERROR(SEARCH("Not yet due",G98)))</formula>
    </cfRule>
    <cfRule type="containsText" dxfId="3624" priority="3911" operator="containsText" text="Completed Behind Schedule">
      <formula>NOT(ISERROR(SEARCH("Completed Behind Schedule",G98)))</formula>
    </cfRule>
    <cfRule type="containsText" dxfId="3623" priority="3912" operator="containsText" text="Off Target">
      <formula>NOT(ISERROR(SEARCH("Off Target",G98)))</formula>
    </cfRule>
    <cfRule type="containsText" dxfId="3622" priority="3913" operator="containsText" text="In Danger of Falling Behind Target">
      <formula>NOT(ISERROR(SEARCH("In Danger of Falling Behind Target",G98)))</formula>
    </cfRule>
    <cfRule type="containsText" dxfId="3621" priority="3914" operator="containsText" text="On Track to be Achieved">
      <formula>NOT(ISERROR(SEARCH("On Track to be Achieved",G98)))</formula>
    </cfRule>
    <cfRule type="containsText" dxfId="3620" priority="3915" operator="containsText" text="Fully Achieved">
      <formula>NOT(ISERROR(SEARCH("Fully Achieved",G98)))</formula>
    </cfRule>
    <cfRule type="containsText" dxfId="3619" priority="3916" operator="containsText" text="Update not Provided">
      <formula>NOT(ISERROR(SEARCH("Update not Provided",G98)))</formula>
    </cfRule>
    <cfRule type="containsText" dxfId="3618" priority="3917" operator="containsText" text="Not yet due">
      <formula>NOT(ISERROR(SEARCH("Not yet due",G98)))</formula>
    </cfRule>
    <cfRule type="containsText" dxfId="3617" priority="3918" operator="containsText" text="Completed Behind Schedule">
      <formula>NOT(ISERROR(SEARCH("Completed Behind Schedule",G98)))</formula>
    </cfRule>
    <cfRule type="containsText" dxfId="3616" priority="3919" operator="containsText" text="Off Target">
      <formula>NOT(ISERROR(SEARCH("Off Target",G98)))</formula>
    </cfRule>
    <cfRule type="containsText" dxfId="3615" priority="3920" operator="containsText" text="In Danger of Falling Behind Target">
      <formula>NOT(ISERROR(SEARCH("In Danger of Falling Behind Target",G98)))</formula>
    </cfRule>
    <cfRule type="containsText" dxfId="3614" priority="3921" operator="containsText" text="On Track to be Achieved">
      <formula>NOT(ISERROR(SEARCH("On Track to be Achieved",G98)))</formula>
    </cfRule>
    <cfRule type="containsText" dxfId="3613" priority="3922" operator="containsText" text="Fully Achieved">
      <formula>NOT(ISERROR(SEARCH("Fully Achieved",G98)))</formula>
    </cfRule>
    <cfRule type="containsText" dxfId="3612" priority="3923" operator="containsText" text="Fully Achieved">
      <formula>NOT(ISERROR(SEARCH("Fully Achieved",G98)))</formula>
    </cfRule>
    <cfRule type="containsText" dxfId="3611" priority="3924" operator="containsText" text="Fully Achieved">
      <formula>NOT(ISERROR(SEARCH("Fully Achieved",G98)))</formula>
    </cfRule>
    <cfRule type="containsText" dxfId="3610" priority="3925" operator="containsText" text="Deferred">
      <formula>NOT(ISERROR(SEARCH("Deferred",G98)))</formula>
    </cfRule>
    <cfRule type="containsText" dxfId="3609" priority="3926" operator="containsText" text="Deleted">
      <formula>NOT(ISERROR(SEARCH("Deleted",G98)))</formula>
    </cfRule>
    <cfRule type="containsText" dxfId="3608" priority="3927" operator="containsText" text="In Danger of Falling Behind Target">
      <formula>NOT(ISERROR(SEARCH("In Danger of Falling Behind Target",G98)))</formula>
    </cfRule>
    <cfRule type="containsText" dxfId="3607" priority="3928" operator="containsText" text="Not yet due">
      <formula>NOT(ISERROR(SEARCH("Not yet due",G98)))</formula>
    </cfRule>
    <cfRule type="containsText" dxfId="3606" priority="3929" operator="containsText" text="Update not Provided">
      <formula>NOT(ISERROR(SEARCH("Update not Provided",G98)))</formula>
    </cfRule>
  </conditionalFormatting>
  <conditionalFormatting sqref="J1:J1048576">
    <cfRule type="containsText" dxfId="3605" priority="3892" operator="containsText" text="numerical outturn within 5% tolerance">
      <formula>NOT(ISERROR(SEARCH("numerical outturn within 5% tolerance",J1)))</formula>
    </cfRule>
    <cfRule type="containsText" dxfId="3604" priority="3893" operator="containsText" text="Target Partially Met">
      <formula>NOT(ISERROR(SEARCH("Target Partially Met",J1)))</formula>
    </cfRule>
  </conditionalFormatting>
  <conditionalFormatting sqref="I42">
    <cfRule type="containsText" dxfId="3603" priority="3856" operator="containsText" text="On track to be achieved">
      <formula>NOT(ISERROR(SEARCH("On track to be achieved",I42)))</formula>
    </cfRule>
    <cfRule type="containsText" dxfId="3602" priority="3857" operator="containsText" text="Deferred">
      <formula>NOT(ISERROR(SEARCH("Deferred",I42)))</formula>
    </cfRule>
    <cfRule type="containsText" dxfId="3601" priority="3858" operator="containsText" text="Deleted">
      <formula>NOT(ISERROR(SEARCH("Deleted",I42)))</formula>
    </cfRule>
    <cfRule type="containsText" dxfId="3600" priority="3859" operator="containsText" text="In Danger of Falling Behind Target">
      <formula>NOT(ISERROR(SEARCH("In Danger of Falling Behind Target",I42)))</formula>
    </cfRule>
    <cfRule type="containsText" dxfId="3599" priority="3860" operator="containsText" text="Not yet due">
      <formula>NOT(ISERROR(SEARCH("Not yet due",I42)))</formula>
    </cfRule>
    <cfRule type="containsText" dxfId="3598" priority="3861" operator="containsText" text="Update not Provided">
      <formula>NOT(ISERROR(SEARCH("Update not Provided",I42)))</formula>
    </cfRule>
    <cfRule type="containsText" dxfId="3597" priority="3862" operator="containsText" text="Not yet due">
      <formula>NOT(ISERROR(SEARCH("Not yet due",I42)))</formula>
    </cfRule>
    <cfRule type="containsText" dxfId="3596" priority="3863" operator="containsText" text="Completed Behind Schedule">
      <formula>NOT(ISERROR(SEARCH("Completed Behind Schedule",I42)))</formula>
    </cfRule>
    <cfRule type="containsText" dxfId="3595" priority="3864" operator="containsText" text="Off Target">
      <formula>NOT(ISERROR(SEARCH("Off Target",I42)))</formula>
    </cfRule>
    <cfRule type="containsText" dxfId="3594" priority="3865" operator="containsText" text="On Track to be Achieved">
      <formula>NOT(ISERROR(SEARCH("On Track to be Achieved",I42)))</formula>
    </cfRule>
    <cfRule type="containsText" dxfId="3593" priority="3866" operator="containsText" text="Fully Achieved">
      <formula>NOT(ISERROR(SEARCH("Fully Achieved",I42)))</formula>
    </cfRule>
    <cfRule type="containsText" dxfId="3592" priority="3867" operator="containsText" text="Not yet due">
      <formula>NOT(ISERROR(SEARCH("Not yet due",I42)))</formula>
    </cfRule>
    <cfRule type="containsText" dxfId="3591" priority="3868" operator="containsText" text="Not Yet Due">
      <formula>NOT(ISERROR(SEARCH("Not Yet Due",I42)))</formula>
    </cfRule>
    <cfRule type="containsText" dxfId="3590" priority="3869" operator="containsText" text="Deferred">
      <formula>NOT(ISERROR(SEARCH("Deferred",I42)))</formula>
    </cfRule>
    <cfRule type="containsText" dxfId="3589" priority="3870" operator="containsText" text="Deleted">
      <formula>NOT(ISERROR(SEARCH("Deleted",I42)))</formula>
    </cfRule>
    <cfRule type="containsText" dxfId="3588" priority="3871" operator="containsText" text="In Danger of Falling Behind Target">
      <formula>NOT(ISERROR(SEARCH("In Danger of Falling Behind Target",I42)))</formula>
    </cfRule>
    <cfRule type="containsText" dxfId="3587" priority="3872" operator="containsText" text="Not yet due">
      <formula>NOT(ISERROR(SEARCH("Not yet due",I42)))</formula>
    </cfRule>
    <cfRule type="containsText" dxfId="3586" priority="3873" operator="containsText" text="Completed Behind Schedule">
      <formula>NOT(ISERROR(SEARCH("Completed Behind Schedule",I42)))</formula>
    </cfRule>
    <cfRule type="containsText" dxfId="3585" priority="3874" operator="containsText" text="Off Target">
      <formula>NOT(ISERROR(SEARCH("Off Target",I42)))</formula>
    </cfRule>
    <cfRule type="containsText" dxfId="3584" priority="3875" operator="containsText" text="In Danger of Falling Behind Target">
      <formula>NOT(ISERROR(SEARCH("In Danger of Falling Behind Target",I42)))</formula>
    </cfRule>
    <cfRule type="containsText" dxfId="3583" priority="3876" operator="containsText" text="On Track to be Achieved">
      <formula>NOT(ISERROR(SEARCH("On Track to be Achieved",I42)))</formula>
    </cfRule>
    <cfRule type="containsText" dxfId="3582" priority="3877" operator="containsText" text="Fully Achieved">
      <formula>NOT(ISERROR(SEARCH("Fully Achieved",I42)))</formula>
    </cfRule>
    <cfRule type="containsText" dxfId="3581" priority="3878" operator="containsText" text="Update not Provided">
      <formula>NOT(ISERROR(SEARCH("Update not Provided",I42)))</formula>
    </cfRule>
    <cfRule type="containsText" dxfId="3580" priority="3879" operator="containsText" text="Not yet due">
      <formula>NOT(ISERROR(SEARCH("Not yet due",I42)))</formula>
    </cfRule>
    <cfRule type="containsText" dxfId="3579" priority="3880" operator="containsText" text="Completed Behind Schedule">
      <formula>NOT(ISERROR(SEARCH("Completed Behind Schedule",I42)))</formula>
    </cfRule>
    <cfRule type="containsText" dxfId="3578" priority="3881" operator="containsText" text="Off Target">
      <formula>NOT(ISERROR(SEARCH("Off Target",I42)))</formula>
    </cfRule>
    <cfRule type="containsText" dxfId="3577" priority="3882" operator="containsText" text="In Danger of Falling Behind Target">
      <formula>NOT(ISERROR(SEARCH("In Danger of Falling Behind Target",I42)))</formula>
    </cfRule>
    <cfRule type="containsText" dxfId="3576" priority="3883" operator="containsText" text="On Track to be Achieved">
      <formula>NOT(ISERROR(SEARCH("On Track to be Achieved",I42)))</formula>
    </cfRule>
    <cfRule type="containsText" dxfId="3575" priority="3884" operator="containsText" text="Fully Achieved">
      <formula>NOT(ISERROR(SEARCH("Fully Achieved",I42)))</formula>
    </cfRule>
    <cfRule type="containsText" dxfId="3574" priority="3885" operator="containsText" text="Fully Achieved">
      <formula>NOT(ISERROR(SEARCH("Fully Achieved",I42)))</formula>
    </cfRule>
    <cfRule type="containsText" dxfId="3573" priority="3886" operator="containsText" text="Fully Achieved">
      <formula>NOT(ISERROR(SEARCH("Fully Achieved",I42)))</formula>
    </cfRule>
    <cfRule type="containsText" dxfId="3572" priority="3887" operator="containsText" text="Deferred">
      <formula>NOT(ISERROR(SEARCH("Deferred",I42)))</formula>
    </cfRule>
    <cfRule type="containsText" dxfId="3571" priority="3888" operator="containsText" text="Deleted">
      <formula>NOT(ISERROR(SEARCH("Deleted",I42)))</formula>
    </cfRule>
    <cfRule type="containsText" dxfId="3570" priority="3889" operator="containsText" text="In Danger of Falling Behind Target">
      <formula>NOT(ISERROR(SEARCH("In Danger of Falling Behind Target",I42)))</formula>
    </cfRule>
    <cfRule type="containsText" dxfId="3569" priority="3890" operator="containsText" text="Not yet due">
      <formula>NOT(ISERROR(SEARCH("Not yet due",I42)))</formula>
    </cfRule>
    <cfRule type="containsText" dxfId="3568" priority="3891" operator="containsText" text="Update not Provided">
      <formula>NOT(ISERROR(SEARCH("Update not Provided",I42)))</formula>
    </cfRule>
  </conditionalFormatting>
  <conditionalFormatting sqref="I50">
    <cfRule type="containsText" dxfId="3567" priority="3820" operator="containsText" text="On track to be achieved">
      <formula>NOT(ISERROR(SEARCH("On track to be achieved",I50)))</formula>
    </cfRule>
    <cfRule type="containsText" dxfId="3566" priority="3821" operator="containsText" text="Deferred">
      <formula>NOT(ISERROR(SEARCH("Deferred",I50)))</formula>
    </cfRule>
    <cfRule type="containsText" dxfId="3565" priority="3822" operator="containsText" text="Deleted">
      <formula>NOT(ISERROR(SEARCH("Deleted",I50)))</formula>
    </cfRule>
    <cfRule type="containsText" dxfId="3564" priority="3823" operator="containsText" text="In Danger of Falling Behind Target">
      <formula>NOT(ISERROR(SEARCH("In Danger of Falling Behind Target",I50)))</formula>
    </cfRule>
    <cfRule type="containsText" dxfId="3563" priority="3824" operator="containsText" text="Not yet due">
      <formula>NOT(ISERROR(SEARCH("Not yet due",I50)))</formula>
    </cfRule>
    <cfRule type="containsText" dxfId="3562" priority="3825" operator="containsText" text="Update not Provided">
      <formula>NOT(ISERROR(SEARCH("Update not Provided",I50)))</formula>
    </cfRule>
    <cfRule type="containsText" dxfId="3561" priority="3826" operator="containsText" text="Not yet due">
      <formula>NOT(ISERROR(SEARCH("Not yet due",I50)))</formula>
    </cfRule>
    <cfRule type="containsText" dxfId="3560" priority="3827" operator="containsText" text="Completed Behind Schedule">
      <formula>NOT(ISERROR(SEARCH("Completed Behind Schedule",I50)))</formula>
    </cfRule>
    <cfRule type="containsText" dxfId="3559" priority="3828" operator="containsText" text="Off Target">
      <formula>NOT(ISERROR(SEARCH("Off Target",I50)))</formula>
    </cfRule>
    <cfRule type="containsText" dxfId="3558" priority="3829" operator="containsText" text="On Track to be Achieved">
      <formula>NOT(ISERROR(SEARCH("On Track to be Achieved",I50)))</formula>
    </cfRule>
    <cfRule type="containsText" dxfId="3557" priority="3830" operator="containsText" text="Fully Achieved">
      <formula>NOT(ISERROR(SEARCH("Fully Achieved",I50)))</formula>
    </cfRule>
    <cfRule type="containsText" dxfId="3556" priority="3831" operator="containsText" text="Not yet due">
      <formula>NOT(ISERROR(SEARCH("Not yet due",I50)))</formula>
    </cfRule>
    <cfRule type="containsText" dxfId="3555" priority="3832" operator="containsText" text="Not Yet Due">
      <formula>NOT(ISERROR(SEARCH("Not Yet Due",I50)))</formula>
    </cfRule>
    <cfRule type="containsText" dxfId="3554" priority="3833" operator="containsText" text="Deferred">
      <formula>NOT(ISERROR(SEARCH("Deferred",I50)))</formula>
    </cfRule>
    <cfRule type="containsText" dxfId="3553" priority="3834" operator="containsText" text="Deleted">
      <formula>NOT(ISERROR(SEARCH("Deleted",I50)))</formula>
    </cfRule>
    <cfRule type="containsText" dxfId="3552" priority="3835" operator="containsText" text="In Danger of Falling Behind Target">
      <formula>NOT(ISERROR(SEARCH("In Danger of Falling Behind Target",I50)))</formula>
    </cfRule>
    <cfRule type="containsText" dxfId="3551" priority="3836" operator="containsText" text="Not yet due">
      <formula>NOT(ISERROR(SEARCH("Not yet due",I50)))</formula>
    </cfRule>
    <cfRule type="containsText" dxfId="3550" priority="3837" operator="containsText" text="Completed Behind Schedule">
      <formula>NOT(ISERROR(SEARCH("Completed Behind Schedule",I50)))</formula>
    </cfRule>
    <cfRule type="containsText" dxfId="3549" priority="3838" operator="containsText" text="Off Target">
      <formula>NOT(ISERROR(SEARCH("Off Target",I50)))</formula>
    </cfRule>
    <cfRule type="containsText" dxfId="3548" priority="3839" operator="containsText" text="In Danger of Falling Behind Target">
      <formula>NOT(ISERROR(SEARCH("In Danger of Falling Behind Target",I50)))</formula>
    </cfRule>
    <cfRule type="containsText" dxfId="3547" priority="3840" operator="containsText" text="On Track to be Achieved">
      <formula>NOT(ISERROR(SEARCH("On Track to be Achieved",I50)))</formula>
    </cfRule>
    <cfRule type="containsText" dxfId="3546" priority="3841" operator="containsText" text="Fully Achieved">
      <formula>NOT(ISERROR(SEARCH("Fully Achieved",I50)))</formula>
    </cfRule>
    <cfRule type="containsText" dxfId="3545" priority="3842" operator="containsText" text="Update not Provided">
      <formula>NOT(ISERROR(SEARCH("Update not Provided",I50)))</formula>
    </cfRule>
    <cfRule type="containsText" dxfId="3544" priority="3843" operator="containsText" text="Not yet due">
      <formula>NOT(ISERROR(SEARCH("Not yet due",I50)))</formula>
    </cfRule>
    <cfRule type="containsText" dxfId="3543" priority="3844" operator="containsText" text="Completed Behind Schedule">
      <formula>NOT(ISERROR(SEARCH("Completed Behind Schedule",I50)))</formula>
    </cfRule>
    <cfRule type="containsText" dxfId="3542" priority="3845" operator="containsText" text="Off Target">
      <formula>NOT(ISERROR(SEARCH("Off Target",I50)))</formula>
    </cfRule>
    <cfRule type="containsText" dxfId="3541" priority="3846" operator="containsText" text="In Danger of Falling Behind Target">
      <formula>NOT(ISERROR(SEARCH("In Danger of Falling Behind Target",I50)))</formula>
    </cfRule>
    <cfRule type="containsText" dxfId="3540" priority="3847" operator="containsText" text="On Track to be Achieved">
      <formula>NOT(ISERROR(SEARCH("On Track to be Achieved",I50)))</formula>
    </cfRule>
    <cfRule type="containsText" dxfId="3539" priority="3848" operator="containsText" text="Fully Achieved">
      <formula>NOT(ISERROR(SEARCH("Fully Achieved",I50)))</formula>
    </cfRule>
    <cfRule type="containsText" dxfId="3538" priority="3849" operator="containsText" text="Fully Achieved">
      <formula>NOT(ISERROR(SEARCH("Fully Achieved",I50)))</formula>
    </cfRule>
    <cfRule type="containsText" dxfId="3537" priority="3850" operator="containsText" text="Fully Achieved">
      <formula>NOT(ISERROR(SEARCH("Fully Achieved",I50)))</formula>
    </cfRule>
    <cfRule type="containsText" dxfId="3536" priority="3851" operator="containsText" text="Deferred">
      <formula>NOT(ISERROR(SEARCH("Deferred",I50)))</formula>
    </cfRule>
    <cfRule type="containsText" dxfId="3535" priority="3852" operator="containsText" text="Deleted">
      <formula>NOT(ISERROR(SEARCH("Deleted",I50)))</formula>
    </cfRule>
    <cfRule type="containsText" dxfId="3534" priority="3853" operator="containsText" text="In Danger of Falling Behind Target">
      <formula>NOT(ISERROR(SEARCH("In Danger of Falling Behind Target",I50)))</formula>
    </cfRule>
    <cfRule type="containsText" dxfId="3533" priority="3854" operator="containsText" text="Not yet due">
      <formula>NOT(ISERROR(SEARCH("Not yet due",I50)))</formula>
    </cfRule>
    <cfRule type="containsText" dxfId="3532" priority="3855" operator="containsText" text="Update not Provided">
      <formula>NOT(ISERROR(SEARCH("Update not Provided",I50)))</formula>
    </cfRule>
  </conditionalFormatting>
  <conditionalFormatting sqref="I61">
    <cfRule type="containsText" dxfId="3531" priority="3784" operator="containsText" text="On track to be achieved">
      <formula>NOT(ISERROR(SEARCH("On track to be achieved",I61)))</formula>
    </cfRule>
    <cfRule type="containsText" dxfId="3530" priority="3785" operator="containsText" text="Deferred">
      <formula>NOT(ISERROR(SEARCH("Deferred",I61)))</formula>
    </cfRule>
    <cfRule type="containsText" dxfId="3529" priority="3786" operator="containsText" text="Deleted">
      <formula>NOT(ISERROR(SEARCH("Deleted",I61)))</formula>
    </cfRule>
    <cfRule type="containsText" dxfId="3528" priority="3787" operator="containsText" text="In Danger of Falling Behind Target">
      <formula>NOT(ISERROR(SEARCH("In Danger of Falling Behind Target",I61)))</formula>
    </cfRule>
    <cfRule type="containsText" dxfId="3527" priority="3788" operator="containsText" text="Not yet due">
      <formula>NOT(ISERROR(SEARCH("Not yet due",I61)))</formula>
    </cfRule>
    <cfRule type="containsText" dxfId="3526" priority="3789" operator="containsText" text="Update not Provided">
      <formula>NOT(ISERROR(SEARCH("Update not Provided",I61)))</formula>
    </cfRule>
    <cfRule type="containsText" dxfId="3525" priority="3790" operator="containsText" text="Not yet due">
      <formula>NOT(ISERROR(SEARCH("Not yet due",I61)))</formula>
    </cfRule>
    <cfRule type="containsText" dxfId="3524" priority="3791" operator="containsText" text="Completed Behind Schedule">
      <formula>NOT(ISERROR(SEARCH("Completed Behind Schedule",I61)))</formula>
    </cfRule>
    <cfRule type="containsText" dxfId="3523" priority="3792" operator="containsText" text="Off Target">
      <formula>NOT(ISERROR(SEARCH("Off Target",I61)))</formula>
    </cfRule>
    <cfRule type="containsText" dxfId="3522" priority="3793" operator="containsText" text="On Track to be Achieved">
      <formula>NOT(ISERROR(SEARCH("On Track to be Achieved",I61)))</formula>
    </cfRule>
    <cfRule type="containsText" dxfId="3521" priority="3794" operator="containsText" text="Fully Achieved">
      <formula>NOT(ISERROR(SEARCH("Fully Achieved",I61)))</formula>
    </cfRule>
    <cfRule type="containsText" dxfId="3520" priority="3795" operator="containsText" text="Not yet due">
      <formula>NOT(ISERROR(SEARCH("Not yet due",I61)))</formula>
    </cfRule>
    <cfRule type="containsText" dxfId="3519" priority="3796" operator="containsText" text="Not Yet Due">
      <formula>NOT(ISERROR(SEARCH("Not Yet Due",I61)))</formula>
    </cfRule>
    <cfRule type="containsText" dxfId="3518" priority="3797" operator="containsText" text="Deferred">
      <formula>NOT(ISERROR(SEARCH("Deferred",I61)))</formula>
    </cfRule>
    <cfRule type="containsText" dxfId="3517" priority="3798" operator="containsText" text="Deleted">
      <formula>NOT(ISERROR(SEARCH("Deleted",I61)))</formula>
    </cfRule>
    <cfRule type="containsText" dxfId="3516" priority="3799" operator="containsText" text="In Danger of Falling Behind Target">
      <formula>NOT(ISERROR(SEARCH("In Danger of Falling Behind Target",I61)))</formula>
    </cfRule>
    <cfRule type="containsText" dxfId="3515" priority="3800" operator="containsText" text="Not yet due">
      <formula>NOT(ISERROR(SEARCH("Not yet due",I61)))</formula>
    </cfRule>
    <cfRule type="containsText" dxfId="3514" priority="3801" operator="containsText" text="Completed Behind Schedule">
      <formula>NOT(ISERROR(SEARCH("Completed Behind Schedule",I61)))</formula>
    </cfRule>
    <cfRule type="containsText" dxfId="3513" priority="3802" operator="containsText" text="Off Target">
      <formula>NOT(ISERROR(SEARCH("Off Target",I61)))</formula>
    </cfRule>
    <cfRule type="containsText" dxfId="3512" priority="3803" operator="containsText" text="In Danger of Falling Behind Target">
      <formula>NOT(ISERROR(SEARCH("In Danger of Falling Behind Target",I61)))</formula>
    </cfRule>
    <cfRule type="containsText" dxfId="3511" priority="3804" operator="containsText" text="On Track to be Achieved">
      <formula>NOT(ISERROR(SEARCH("On Track to be Achieved",I61)))</formula>
    </cfRule>
    <cfRule type="containsText" dxfId="3510" priority="3805" operator="containsText" text="Fully Achieved">
      <formula>NOT(ISERROR(SEARCH("Fully Achieved",I61)))</formula>
    </cfRule>
    <cfRule type="containsText" dxfId="3509" priority="3806" operator="containsText" text="Update not Provided">
      <formula>NOT(ISERROR(SEARCH("Update not Provided",I61)))</formula>
    </cfRule>
    <cfRule type="containsText" dxfId="3508" priority="3807" operator="containsText" text="Not yet due">
      <formula>NOT(ISERROR(SEARCH("Not yet due",I61)))</formula>
    </cfRule>
    <cfRule type="containsText" dxfId="3507" priority="3808" operator="containsText" text="Completed Behind Schedule">
      <formula>NOT(ISERROR(SEARCH("Completed Behind Schedule",I61)))</formula>
    </cfRule>
    <cfRule type="containsText" dxfId="3506" priority="3809" operator="containsText" text="Off Target">
      <formula>NOT(ISERROR(SEARCH("Off Target",I61)))</formula>
    </cfRule>
    <cfRule type="containsText" dxfId="3505" priority="3810" operator="containsText" text="In Danger of Falling Behind Target">
      <formula>NOT(ISERROR(SEARCH("In Danger of Falling Behind Target",I61)))</formula>
    </cfRule>
    <cfRule type="containsText" dxfId="3504" priority="3811" operator="containsText" text="On Track to be Achieved">
      <formula>NOT(ISERROR(SEARCH("On Track to be Achieved",I61)))</formula>
    </cfRule>
    <cfRule type="containsText" dxfId="3503" priority="3812" operator="containsText" text="Fully Achieved">
      <formula>NOT(ISERROR(SEARCH("Fully Achieved",I61)))</formula>
    </cfRule>
    <cfRule type="containsText" dxfId="3502" priority="3813" operator="containsText" text="Fully Achieved">
      <formula>NOT(ISERROR(SEARCH("Fully Achieved",I61)))</formula>
    </cfRule>
    <cfRule type="containsText" dxfId="3501" priority="3814" operator="containsText" text="Fully Achieved">
      <formula>NOT(ISERROR(SEARCH("Fully Achieved",I61)))</formula>
    </cfRule>
    <cfRule type="containsText" dxfId="3500" priority="3815" operator="containsText" text="Deferred">
      <formula>NOT(ISERROR(SEARCH("Deferred",I61)))</formula>
    </cfRule>
    <cfRule type="containsText" dxfId="3499" priority="3816" operator="containsText" text="Deleted">
      <formula>NOT(ISERROR(SEARCH("Deleted",I61)))</formula>
    </cfRule>
    <cfRule type="containsText" dxfId="3498" priority="3817" operator="containsText" text="In Danger of Falling Behind Target">
      <formula>NOT(ISERROR(SEARCH("In Danger of Falling Behind Target",I61)))</formula>
    </cfRule>
    <cfRule type="containsText" dxfId="3497" priority="3818" operator="containsText" text="Not yet due">
      <formula>NOT(ISERROR(SEARCH("Not yet due",I61)))</formula>
    </cfRule>
    <cfRule type="containsText" dxfId="3496" priority="3819" operator="containsText" text="Update not Provided">
      <formula>NOT(ISERROR(SEARCH("Update not Provided",I61)))</formula>
    </cfRule>
  </conditionalFormatting>
  <conditionalFormatting sqref="I69:I71">
    <cfRule type="containsText" dxfId="3495" priority="3748" operator="containsText" text="On track to be achieved">
      <formula>NOT(ISERROR(SEARCH("On track to be achieved",I69)))</formula>
    </cfRule>
    <cfRule type="containsText" dxfId="3494" priority="3749" operator="containsText" text="Deferred">
      <formula>NOT(ISERROR(SEARCH("Deferred",I69)))</formula>
    </cfRule>
    <cfRule type="containsText" dxfId="3493" priority="3750" operator="containsText" text="Deleted">
      <formula>NOT(ISERROR(SEARCH("Deleted",I69)))</formula>
    </cfRule>
    <cfRule type="containsText" dxfId="3492" priority="3751" operator="containsText" text="In Danger of Falling Behind Target">
      <formula>NOT(ISERROR(SEARCH("In Danger of Falling Behind Target",I69)))</formula>
    </cfRule>
    <cfRule type="containsText" dxfId="3491" priority="3752" operator="containsText" text="Not yet due">
      <formula>NOT(ISERROR(SEARCH("Not yet due",I69)))</formula>
    </cfRule>
    <cfRule type="containsText" dxfId="3490" priority="3753" operator="containsText" text="Update not Provided">
      <formula>NOT(ISERROR(SEARCH("Update not Provided",I69)))</formula>
    </cfRule>
    <cfRule type="containsText" dxfId="3489" priority="3754" operator="containsText" text="Not yet due">
      <formula>NOT(ISERROR(SEARCH("Not yet due",I69)))</formula>
    </cfRule>
    <cfRule type="containsText" dxfId="3488" priority="3755" operator="containsText" text="Completed Behind Schedule">
      <formula>NOT(ISERROR(SEARCH("Completed Behind Schedule",I69)))</formula>
    </cfRule>
    <cfRule type="containsText" dxfId="3487" priority="3756" operator="containsText" text="Off Target">
      <formula>NOT(ISERROR(SEARCH("Off Target",I69)))</formula>
    </cfRule>
    <cfRule type="containsText" dxfId="3486" priority="3757" operator="containsText" text="On Track to be Achieved">
      <formula>NOT(ISERROR(SEARCH("On Track to be Achieved",I69)))</formula>
    </cfRule>
    <cfRule type="containsText" dxfId="3485" priority="3758" operator="containsText" text="Fully Achieved">
      <formula>NOT(ISERROR(SEARCH("Fully Achieved",I69)))</formula>
    </cfRule>
    <cfRule type="containsText" dxfId="3484" priority="3759" operator="containsText" text="Not yet due">
      <formula>NOT(ISERROR(SEARCH("Not yet due",I69)))</formula>
    </cfRule>
    <cfRule type="containsText" dxfId="3483" priority="3760" operator="containsText" text="Not Yet Due">
      <formula>NOT(ISERROR(SEARCH("Not Yet Due",I69)))</formula>
    </cfRule>
    <cfRule type="containsText" dxfId="3482" priority="3761" operator="containsText" text="Deferred">
      <formula>NOT(ISERROR(SEARCH("Deferred",I69)))</formula>
    </cfRule>
    <cfRule type="containsText" dxfId="3481" priority="3762" operator="containsText" text="Deleted">
      <formula>NOT(ISERROR(SEARCH("Deleted",I69)))</formula>
    </cfRule>
    <cfRule type="containsText" dxfId="3480" priority="3763" operator="containsText" text="In Danger of Falling Behind Target">
      <formula>NOT(ISERROR(SEARCH("In Danger of Falling Behind Target",I69)))</formula>
    </cfRule>
    <cfRule type="containsText" dxfId="3479" priority="3764" operator="containsText" text="Not yet due">
      <formula>NOT(ISERROR(SEARCH("Not yet due",I69)))</formula>
    </cfRule>
    <cfRule type="containsText" dxfId="3478" priority="3765" operator="containsText" text="Completed Behind Schedule">
      <formula>NOT(ISERROR(SEARCH("Completed Behind Schedule",I69)))</formula>
    </cfRule>
    <cfRule type="containsText" dxfId="3477" priority="3766" operator="containsText" text="Off Target">
      <formula>NOT(ISERROR(SEARCH("Off Target",I69)))</formula>
    </cfRule>
    <cfRule type="containsText" dxfId="3476" priority="3767" operator="containsText" text="In Danger of Falling Behind Target">
      <formula>NOT(ISERROR(SEARCH("In Danger of Falling Behind Target",I69)))</formula>
    </cfRule>
    <cfRule type="containsText" dxfId="3475" priority="3768" operator="containsText" text="On Track to be Achieved">
      <formula>NOT(ISERROR(SEARCH("On Track to be Achieved",I69)))</formula>
    </cfRule>
    <cfRule type="containsText" dxfId="3474" priority="3769" operator="containsText" text="Fully Achieved">
      <formula>NOT(ISERROR(SEARCH("Fully Achieved",I69)))</formula>
    </cfRule>
    <cfRule type="containsText" dxfId="3473" priority="3770" operator="containsText" text="Update not Provided">
      <formula>NOT(ISERROR(SEARCH("Update not Provided",I69)))</formula>
    </cfRule>
    <cfRule type="containsText" dxfId="3472" priority="3771" operator="containsText" text="Not yet due">
      <formula>NOT(ISERROR(SEARCH("Not yet due",I69)))</formula>
    </cfRule>
    <cfRule type="containsText" dxfId="3471" priority="3772" operator="containsText" text="Completed Behind Schedule">
      <formula>NOT(ISERROR(SEARCH("Completed Behind Schedule",I69)))</formula>
    </cfRule>
    <cfRule type="containsText" dxfId="3470" priority="3773" operator="containsText" text="Off Target">
      <formula>NOT(ISERROR(SEARCH("Off Target",I69)))</formula>
    </cfRule>
    <cfRule type="containsText" dxfId="3469" priority="3774" operator="containsText" text="In Danger of Falling Behind Target">
      <formula>NOT(ISERROR(SEARCH("In Danger of Falling Behind Target",I69)))</formula>
    </cfRule>
    <cfRule type="containsText" dxfId="3468" priority="3775" operator="containsText" text="On Track to be Achieved">
      <formula>NOT(ISERROR(SEARCH("On Track to be Achieved",I69)))</formula>
    </cfRule>
    <cfRule type="containsText" dxfId="3467" priority="3776" operator="containsText" text="Fully Achieved">
      <formula>NOT(ISERROR(SEARCH("Fully Achieved",I69)))</formula>
    </cfRule>
    <cfRule type="containsText" dxfId="3466" priority="3777" operator="containsText" text="Fully Achieved">
      <formula>NOT(ISERROR(SEARCH("Fully Achieved",I69)))</formula>
    </cfRule>
    <cfRule type="containsText" dxfId="3465" priority="3778" operator="containsText" text="Fully Achieved">
      <formula>NOT(ISERROR(SEARCH("Fully Achieved",I69)))</formula>
    </cfRule>
    <cfRule type="containsText" dxfId="3464" priority="3779" operator="containsText" text="Deferred">
      <formula>NOT(ISERROR(SEARCH("Deferred",I69)))</formula>
    </cfRule>
    <cfRule type="containsText" dxfId="3463" priority="3780" operator="containsText" text="Deleted">
      <formula>NOT(ISERROR(SEARCH("Deleted",I69)))</formula>
    </cfRule>
    <cfRule type="containsText" dxfId="3462" priority="3781" operator="containsText" text="In Danger of Falling Behind Target">
      <formula>NOT(ISERROR(SEARCH("In Danger of Falling Behind Target",I69)))</formula>
    </cfRule>
    <cfRule type="containsText" dxfId="3461" priority="3782" operator="containsText" text="Not yet due">
      <formula>NOT(ISERROR(SEARCH("Not yet due",I69)))</formula>
    </cfRule>
    <cfRule type="containsText" dxfId="3460" priority="3783" operator="containsText" text="Update not Provided">
      <formula>NOT(ISERROR(SEARCH("Update not Provided",I69)))</formula>
    </cfRule>
  </conditionalFormatting>
  <conditionalFormatting sqref="I83">
    <cfRule type="containsText" dxfId="3459" priority="3712" operator="containsText" text="On track to be achieved">
      <formula>NOT(ISERROR(SEARCH("On track to be achieved",I83)))</formula>
    </cfRule>
    <cfRule type="containsText" dxfId="3458" priority="3713" operator="containsText" text="Deferred">
      <formula>NOT(ISERROR(SEARCH("Deferred",I83)))</formula>
    </cfRule>
    <cfRule type="containsText" dxfId="3457" priority="3714" operator="containsText" text="Deleted">
      <formula>NOT(ISERROR(SEARCH("Deleted",I83)))</formula>
    </cfRule>
    <cfRule type="containsText" dxfId="3456" priority="3715" operator="containsText" text="In Danger of Falling Behind Target">
      <formula>NOT(ISERROR(SEARCH("In Danger of Falling Behind Target",I83)))</formula>
    </cfRule>
    <cfRule type="containsText" dxfId="3455" priority="3716" operator="containsText" text="Not yet due">
      <formula>NOT(ISERROR(SEARCH("Not yet due",I83)))</formula>
    </cfRule>
    <cfRule type="containsText" dxfId="3454" priority="3717" operator="containsText" text="Update not Provided">
      <formula>NOT(ISERROR(SEARCH("Update not Provided",I83)))</formula>
    </cfRule>
    <cfRule type="containsText" dxfId="3453" priority="3718" operator="containsText" text="Not yet due">
      <formula>NOT(ISERROR(SEARCH("Not yet due",I83)))</formula>
    </cfRule>
    <cfRule type="containsText" dxfId="3452" priority="3719" operator="containsText" text="Completed Behind Schedule">
      <formula>NOT(ISERROR(SEARCH("Completed Behind Schedule",I83)))</formula>
    </cfRule>
    <cfRule type="containsText" dxfId="3451" priority="3720" operator="containsText" text="Off Target">
      <formula>NOT(ISERROR(SEARCH("Off Target",I83)))</formula>
    </cfRule>
    <cfRule type="containsText" dxfId="3450" priority="3721" operator="containsText" text="On Track to be Achieved">
      <formula>NOT(ISERROR(SEARCH("On Track to be Achieved",I83)))</formula>
    </cfRule>
    <cfRule type="containsText" dxfId="3449" priority="3722" operator="containsText" text="Fully Achieved">
      <formula>NOT(ISERROR(SEARCH("Fully Achieved",I83)))</formula>
    </cfRule>
    <cfRule type="containsText" dxfId="3448" priority="3723" operator="containsText" text="Not yet due">
      <formula>NOT(ISERROR(SEARCH("Not yet due",I83)))</formula>
    </cfRule>
    <cfRule type="containsText" dxfId="3447" priority="3724" operator="containsText" text="Not Yet Due">
      <formula>NOT(ISERROR(SEARCH("Not Yet Due",I83)))</formula>
    </cfRule>
    <cfRule type="containsText" dxfId="3446" priority="3725" operator="containsText" text="Deferred">
      <formula>NOT(ISERROR(SEARCH("Deferred",I83)))</formula>
    </cfRule>
    <cfRule type="containsText" dxfId="3445" priority="3726" operator="containsText" text="Deleted">
      <formula>NOT(ISERROR(SEARCH("Deleted",I83)))</formula>
    </cfRule>
    <cfRule type="containsText" dxfId="3444" priority="3727" operator="containsText" text="In Danger of Falling Behind Target">
      <formula>NOT(ISERROR(SEARCH("In Danger of Falling Behind Target",I83)))</formula>
    </cfRule>
    <cfRule type="containsText" dxfId="3443" priority="3728" operator="containsText" text="Not yet due">
      <formula>NOT(ISERROR(SEARCH("Not yet due",I83)))</formula>
    </cfRule>
    <cfRule type="containsText" dxfId="3442" priority="3729" operator="containsText" text="Completed Behind Schedule">
      <formula>NOT(ISERROR(SEARCH("Completed Behind Schedule",I83)))</formula>
    </cfRule>
    <cfRule type="containsText" dxfId="3441" priority="3730" operator="containsText" text="Off Target">
      <formula>NOT(ISERROR(SEARCH("Off Target",I83)))</formula>
    </cfRule>
    <cfRule type="containsText" dxfId="3440" priority="3731" operator="containsText" text="In Danger of Falling Behind Target">
      <formula>NOT(ISERROR(SEARCH("In Danger of Falling Behind Target",I83)))</formula>
    </cfRule>
    <cfRule type="containsText" dxfId="3439" priority="3732" operator="containsText" text="On Track to be Achieved">
      <formula>NOT(ISERROR(SEARCH("On Track to be Achieved",I83)))</formula>
    </cfRule>
    <cfRule type="containsText" dxfId="3438" priority="3733" operator="containsText" text="Fully Achieved">
      <formula>NOT(ISERROR(SEARCH("Fully Achieved",I83)))</formula>
    </cfRule>
    <cfRule type="containsText" dxfId="3437" priority="3734" operator="containsText" text="Update not Provided">
      <formula>NOT(ISERROR(SEARCH("Update not Provided",I83)))</formula>
    </cfRule>
    <cfRule type="containsText" dxfId="3436" priority="3735" operator="containsText" text="Not yet due">
      <formula>NOT(ISERROR(SEARCH("Not yet due",I83)))</formula>
    </cfRule>
    <cfRule type="containsText" dxfId="3435" priority="3736" operator="containsText" text="Completed Behind Schedule">
      <formula>NOT(ISERROR(SEARCH("Completed Behind Schedule",I83)))</formula>
    </cfRule>
    <cfRule type="containsText" dxfId="3434" priority="3737" operator="containsText" text="Off Target">
      <formula>NOT(ISERROR(SEARCH("Off Target",I83)))</formula>
    </cfRule>
    <cfRule type="containsText" dxfId="3433" priority="3738" operator="containsText" text="In Danger of Falling Behind Target">
      <formula>NOT(ISERROR(SEARCH("In Danger of Falling Behind Target",I83)))</formula>
    </cfRule>
    <cfRule type="containsText" dxfId="3432" priority="3739" operator="containsText" text="On Track to be Achieved">
      <formula>NOT(ISERROR(SEARCH("On Track to be Achieved",I83)))</formula>
    </cfRule>
    <cfRule type="containsText" dxfId="3431" priority="3740" operator="containsText" text="Fully Achieved">
      <formula>NOT(ISERROR(SEARCH("Fully Achieved",I83)))</formula>
    </cfRule>
    <cfRule type="containsText" dxfId="3430" priority="3741" operator="containsText" text="Fully Achieved">
      <formula>NOT(ISERROR(SEARCH("Fully Achieved",I83)))</formula>
    </cfRule>
    <cfRule type="containsText" dxfId="3429" priority="3742" operator="containsText" text="Fully Achieved">
      <formula>NOT(ISERROR(SEARCH("Fully Achieved",I83)))</formula>
    </cfRule>
    <cfRule type="containsText" dxfId="3428" priority="3743" operator="containsText" text="Deferred">
      <formula>NOT(ISERROR(SEARCH("Deferred",I83)))</formula>
    </cfRule>
    <cfRule type="containsText" dxfId="3427" priority="3744" operator="containsText" text="Deleted">
      <formula>NOT(ISERROR(SEARCH("Deleted",I83)))</formula>
    </cfRule>
    <cfRule type="containsText" dxfId="3426" priority="3745" operator="containsText" text="In Danger of Falling Behind Target">
      <formula>NOT(ISERROR(SEARCH("In Danger of Falling Behind Target",I83)))</formula>
    </cfRule>
    <cfRule type="containsText" dxfId="3425" priority="3746" operator="containsText" text="Not yet due">
      <formula>NOT(ISERROR(SEARCH("Not yet due",I83)))</formula>
    </cfRule>
    <cfRule type="containsText" dxfId="3424" priority="3747" operator="containsText" text="Update not Provided">
      <formula>NOT(ISERROR(SEARCH("Update not Provided",I83)))</formula>
    </cfRule>
  </conditionalFormatting>
  <conditionalFormatting sqref="G3:G25 G27:G28">
    <cfRule type="containsText" dxfId="3423" priority="3676" operator="containsText" text="On track to be achieved">
      <formula>NOT(ISERROR(SEARCH("On track to be achieved",G3)))</formula>
    </cfRule>
    <cfRule type="containsText" dxfId="3422" priority="3677" operator="containsText" text="Deferred">
      <formula>NOT(ISERROR(SEARCH("Deferred",G3)))</formula>
    </cfRule>
    <cfRule type="containsText" dxfId="3421" priority="3678" operator="containsText" text="Deleted">
      <formula>NOT(ISERROR(SEARCH("Deleted",G3)))</formula>
    </cfRule>
    <cfRule type="containsText" dxfId="3420" priority="3679" operator="containsText" text="In Danger of Falling Behind Target">
      <formula>NOT(ISERROR(SEARCH("In Danger of Falling Behind Target",G3)))</formula>
    </cfRule>
    <cfRule type="containsText" dxfId="3419" priority="3680" operator="containsText" text="Not yet due">
      <formula>NOT(ISERROR(SEARCH("Not yet due",G3)))</formula>
    </cfRule>
    <cfRule type="containsText" dxfId="3418" priority="3681" operator="containsText" text="Update not Provided">
      <formula>NOT(ISERROR(SEARCH("Update not Provided",G3)))</formula>
    </cfRule>
    <cfRule type="containsText" dxfId="3417" priority="3682" operator="containsText" text="Not yet due">
      <formula>NOT(ISERROR(SEARCH("Not yet due",G3)))</formula>
    </cfRule>
    <cfRule type="containsText" dxfId="3416" priority="3683" operator="containsText" text="Completed Behind Schedule">
      <formula>NOT(ISERROR(SEARCH("Completed Behind Schedule",G3)))</formula>
    </cfRule>
    <cfRule type="containsText" dxfId="3415" priority="3684" operator="containsText" text="Off Target">
      <formula>NOT(ISERROR(SEARCH("Off Target",G3)))</formula>
    </cfRule>
    <cfRule type="containsText" dxfId="3414" priority="3685" operator="containsText" text="On Track to be Achieved">
      <formula>NOT(ISERROR(SEARCH("On Track to be Achieved",G3)))</formula>
    </cfRule>
    <cfRule type="containsText" dxfId="3413" priority="3686" operator="containsText" text="Fully Achieved">
      <formula>NOT(ISERROR(SEARCH("Fully Achieved",G3)))</formula>
    </cfRule>
    <cfRule type="containsText" dxfId="3412" priority="3687" operator="containsText" text="Not yet due">
      <formula>NOT(ISERROR(SEARCH("Not yet due",G3)))</formula>
    </cfRule>
    <cfRule type="containsText" dxfId="3411" priority="3688" operator="containsText" text="Not Yet Due">
      <formula>NOT(ISERROR(SEARCH("Not Yet Due",G3)))</formula>
    </cfRule>
    <cfRule type="containsText" dxfId="3410" priority="3689" operator="containsText" text="Deferred">
      <formula>NOT(ISERROR(SEARCH("Deferred",G3)))</formula>
    </cfRule>
    <cfRule type="containsText" dxfId="3409" priority="3690" operator="containsText" text="Deleted">
      <formula>NOT(ISERROR(SEARCH("Deleted",G3)))</formula>
    </cfRule>
    <cfRule type="containsText" dxfId="3408" priority="3691" operator="containsText" text="In Danger of Falling Behind Target">
      <formula>NOT(ISERROR(SEARCH("In Danger of Falling Behind Target",G3)))</formula>
    </cfRule>
    <cfRule type="containsText" dxfId="3407" priority="3692" operator="containsText" text="Not yet due">
      <formula>NOT(ISERROR(SEARCH("Not yet due",G3)))</formula>
    </cfRule>
    <cfRule type="containsText" dxfId="3406" priority="3693" operator="containsText" text="Completed Behind Schedule">
      <formula>NOT(ISERROR(SEARCH("Completed Behind Schedule",G3)))</formula>
    </cfRule>
    <cfRule type="containsText" dxfId="3405" priority="3694" operator="containsText" text="Off Target">
      <formula>NOT(ISERROR(SEARCH("Off Target",G3)))</formula>
    </cfRule>
    <cfRule type="containsText" dxfId="3404" priority="3695" operator="containsText" text="In Danger of Falling Behind Target">
      <formula>NOT(ISERROR(SEARCH("In Danger of Falling Behind Target",G3)))</formula>
    </cfRule>
    <cfRule type="containsText" dxfId="3403" priority="3696" operator="containsText" text="On Track to be Achieved">
      <formula>NOT(ISERROR(SEARCH("On Track to be Achieved",G3)))</formula>
    </cfRule>
    <cfRule type="containsText" dxfId="3402" priority="3697" operator="containsText" text="Fully Achieved">
      <formula>NOT(ISERROR(SEARCH("Fully Achieved",G3)))</formula>
    </cfRule>
    <cfRule type="containsText" dxfId="3401" priority="3698" operator="containsText" text="Update not Provided">
      <formula>NOT(ISERROR(SEARCH("Update not Provided",G3)))</formula>
    </cfRule>
    <cfRule type="containsText" dxfId="3400" priority="3699" operator="containsText" text="Not yet due">
      <formula>NOT(ISERROR(SEARCH("Not yet due",G3)))</formula>
    </cfRule>
    <cfRule type="containsText" dxfId="3399" priority="3700" operator="containsText" text="Completed Behind Schedule">
      <formula>NOT(ISERROR(SEARCH("Completed Behind Schedule",G3)))</formula>
    </cfRule>
    <cfRule type="containsText" dxfId="3398" priority="3701" operator="containsText" text="Off Target">
      <formula>NOT(ISERROR(SEARCH("Off Target",G3)))</formula>
    </cfRule>
    <cfRule type="containsText" dxfId="3397" priority="3702" operator="containsText" text="In Danger of Falling Behind Target">
      <formula>NOT(ISERROR(SEARCH("In Danger of Falling Behind Target",G3)))</formula>
    </cfRule>
    <cfRule type="containsText" dxfId="3396" priority="3703" operator="containsText" text="On Track to be Achieved">
      <formula>NOT(ISERROR(SEARCH("On Track to be Achieved",G3)))</formula>
    </cfRule>
    <cfRule type="containsText" dxfId="3395" priority="3704" operator="containsText" text="Fully Achieved">
      <formula>NOT(ISERROR(SEARCH("Fully Achieved",G3)))</formula>
    </cfRule>
    <cfRule type="containsText" dxfId="3394" priority="3705" operator="containsText" text="Fully Achieved">
      <formula>NOT(ISERROR(SEARCH("Fully Achieved",G3)))</formula>
    </cfRule>
    <cfRule type="containsText" dxfId="3393" priority="3706" operator="containsText" text="Fully Achieved">
      <formula>NOT(ISERROR(SEARCH("Fully Achieved",G3)))</formula>
    </cfRule>
    <cfRule type="containsText" dxfId="3392" priority="3707" operator="containsText" text="Deferred">
      <formula>NOT(ISERROR(SEARCH("Deferred",G3)))</formula>
    </cfRule>
    <cfRule type="containsText" dxfId="3391" priority="3708" operator="containsText" text="Deleted">
      <formula>NOT(ISERROR(SEARCH("Deleted",G3)))</formula>
    </cfRule>
    <cfRule type="containsText" dxfId="3390" priority="3709" operator="containsText" text="In Danger of Falling Behind Target">
      <formula>NOT(ISERROR(SEARCH("In Danger of Falling Behind Target",G3)))</formula>
    </cfRule>
    <cfRule type="containsText" dxfId="3389" priority="3710" operator="containsText" text="Not yet due">
      <formula>NOT(ISERROR(SEARCH("Not yet due",G3)))</formula>
    </cfRule>
    <cfRule type="containsText" dxfId="3388" priority="3711" operator="containsText" text="Update not Provided">
      <formula>NOT(ISERROR(SEARCH("Update not Provided",G3)))</formula>
    </cfRule>
  </conditionalFormatting>
  <conditionalFormatting sqref="G29">
    <cfRule type="containsText" dxfId="3387" priority="3640" operator="containsText" text="On track to be achieved">
      <formula>NOT(ISERROR(SEARCH("On track to be achieved",G29)))</formula>
    </cfRule>
    <cfRule type="containsText" dxfId="3386" priority="3641" operator="containsText" text="Deferred">
      <formula>NOT(ISERROR(SEARCH("Deferred",G29)))</formula>
    </cfRule>
    <cfRule type="containsText" dxfId="3385" priority="3642" operator="containsText" text="Deleted">
      <formula>NOT(ISERROR(SEARCH("Deleted",G29)))</formula>
    </cfRule>
    <cfRule type="containsText" dxfId="3384" priority="3643" operator="containsText" text="In Danger of Falling Behind Target">
      <formula>NOT(ISERROR(SEARCH("In Danger of Falling Behind Target",G29)))</formula>
    </cfRule>
    <cfRule type="containsText" dxfId="3383" priority="3644" operator="containsText" text="Not yet due">
      <formula>NOT(ISERROR(SEARCH("Not yet due",G29)))</formula>
    </cfRule>
    <cfRule type="containsText" dxfId="3382" priority="3645" operator="containsText" text="Update not Provided">
      <formula>NOT(ISERROR(SEARCH("Update not Provided",G29)))</formula>
    </cfRule>
    <cfRule type="containsText" dxfId="3381" priority="3646" operator="containsText" text="Not yet due">
      <formula>NOT(ISERROR(SEARCH("Not yet due",G29)))</formula>
    </cfRule>
    <cfRule type="containsText" dxfId="3380" priority="3647" operator="containsText" text="Completed Behind Schedule">
      <formula>NOT(ISERROR(SEARCH("Completed Behind Schedule",G29)))</formula>
    </cfRule>
    <cfRule type="containsText" dxfId="3379" priority="3648" operator="containsText" text="Off Target">
      <formula>NOT(ISERROR(SEARCH("Off Target",G29)))</formula>
    </cfRule>
    <cfRule type="containsText" dxfId="3378" priority="3649" operator="containsText" text="On Track to be Achieved">
      <formula>NOT(ISERROR(SEARCH("On Track to be Achieved",G29)))</formula>
    </cfRule>
    <cfRule type="containsText" dxfId="3377" priority="3650" operator="containsText" text="Fully Achieved">
      <formula>NOT(ISERROR(SEARCH("Fully Achieved",G29)))</formula>
    </cfRule>
    <cfRule type="containsText" dxfId="3376" priority="3651" operator="containsText" text="Not yet due">
      <formula>NOT(ISERROR(SEARCH("Not yet due",G29)))</formula>
    </cfRule>
    <cfRule type="containsText" dxfId="3375" priority="3652" operator="containsText" text="Not Yet Due">
      <formula>NOT(ISERROR(SEARCH("Not Yet Due",G29)))</formula>
    </cfRule>
    <cfRule type="containsText" dxfId="3374" priority="3653" operator="containsText" text="Deferred">
      <formula>NOT(ISERROR(SEARCH("Deferred",G29)))</formula>
    </cfRule>
    <cfRule type="containsText" dxfId="3373" priority="3654" operator="containsText" text="Deleted">
      <formula>NOT(ISERROR(SEARCH("Deleted",G29)))</formula>
    </cfRule>
    <cfRule type="containsText" dxfId="3372" priority="3655" operator="containsText" text="In Danger of Falling Behind Target">
      <formula>NOT(ISERROR(SEARCH("In Danger of Falling Behind Target",G29)))</formula>
    </cfRule>
    <cfRule type="containsText" dxfId="3371" priority="3656" operator="containsText" text="Not yet due">
      <formula>NOT(ISERROR(SEARCH("Not yet due",G29)))</formula>
    </cfRule>
    <cfRule type="containsText" dxfId="3370" priority="3657" operator="containsText" text="Completed Behind Schedule">
      <formula>NOT(ISERROR(SEARCH("Completed Behind Schedule",G29)))</formula>
    </cfRule>
    <cfRule type="containsText" dxfId="3369" priority="3658" operator="containsText" text="Off Target">
      <formula>NOT(ISERROR(SEARCH("Off Target",G29)))</formula>
    </cfRule>
    <cfRule type="containsText" dxfId="3368" priority="3659" operator="containsText" text="In Danger of Falling Behind Target">
      <formula>NOT(ISERROR(SEARCH("In Danger of Falling Behind Target",G29)))</formula>
    </cfRule>
    <cfRule type="containsText" dxfId="3367" priority="3660" operator="containsText" text="On Track to be Achieved">
      <formula>NOT(ISERROR(SEARCH("On Track to be Achieved",G29)))</formula>
    </cfRule>
    <cfRule type="containsText" dxfId="3366" priority="3661" operator="containsText" text="Fully Achieved">
      <formula>NOT(ISERROR(SEARCH("Fully Achieved",G29)))</formula>
    </cfRule>
    <cfRule type="containsText" dxfId="3365" priority="3662" operator="containsText" text="Update not Provided">
      <formula>NOT(ISERROR(SEARCH("Update not Provided",G29)))</formula>
    </cfRule>
    <cfRule type="containsText" dxfId="3364" priority="3663" operator="containsText" text="Not yet due">
      <formula>NOT(ISERROR(SEARCH("Not yet due",G29)))</formula>
    </cfRule>
    <cfRule type="containsText" dxfId="3363" priority="3664" operator="containsText" text="Completed Behind Schedule">
      <formula>NOT(ISERROR(SEARCH("Completed Behind Schedule",G29)))</formula>
    </cfRule>
    <cfRule type="containsText" dxfId="3362" priority="3665" operator="containsText" text="Off Target">
      <formula>NOT(ISERROR(SEARCH("Off Target",G29)))</formula>
    </cfRule>
    <cfRule type="containsText" dxfId="3361" priority="3666" operator="containsText" text="In Danger of Falling Behind Target">
      <formula>NOT(ISERROR(SEARCH("In Danger of Falling Behind Target",G29)))</formula>
    </cfRule>
    <cfRule type="containsText" dxfId="3360" priority="3667" operator="containsText" text="On Track to be Achieved">
      <formula>NOT(ISERROR(SEARCH("On Track to be Achieved",G29)))</formula>
    </cfRule>
    <cfRule type="containsText" dxfId="3359" priority="3668" operator="containsText" text="Fully Achieved">
      <formula>NOT(ISERROR(SEARCH("Fully Achieved",G29)))</formula>
    </cfRule>
    <cfRule type="containsText" dxfId="3358" priority="3669" operator="containsText" text="Fully Achieved">
      <formula>NOT(ISERROR(SEARCH("Fully Achieved",G29)))</formula>
    </cfRule>
    <cfRule type="containsText" dxfId="3357" priority="3670" operator="containsText" text="Fully Achieved">
      <formula>NOT(ISERROR(SEARCH("Fully Achieved",G29)))</formula>
    </cfRule>
    <cfRule type="containsText" dxfId="3356" priority="3671" operator="containsText" text="Deferred">
      <formula>NOT(ISERROR(SEARCH("Deferred",G29)))</formula>
    </cfRule>
    <cfRule type="containsText" dxfId="3355" priority="3672" operator="containsText" text="Deleted">
      <formula>NOT(ISERROR(SEARCH("Deleted",G29)))</formula>
    </cfRule>
    <cfRule type="containsText" dxfId="3354" priority="3673" operator="containsText" text="In Danger of Falling Behind Target">
      <formula>NOT(ISERROR(SEARCH("In Danger of Falling Behind Target",G29)))</formula>
    </cfRule>
    <cfRule type="containsText" dxfId="3353" priority="3674" operator="containsText" text="Not yet due">
      <formula>NOT(ISERROR(SEARCH("Not yet due",G29)))</formula>
    </cfRule>
    <cfRule type="containsText" dxfId="3352" priority="3675" operator="containsText" text="Update not Provided">
      <formula>NOT(ISERROR(SEARCH("Update not Provided",G29)))</formula>
    </cfRule>
  </conditionalFormatting>
  <conditionalFormatting sqref="G30:G37">
    <cfRule type="containsText" dxfId="3351" priority="3604" operator="containsText" text="On track to be achieved">
      <formula>NOT(ISERROR(SEARCH("On track to be achieved",G30)))</formula>
    </cfRule>
    <cfRule type="containsText" dxfId="3350" priority="3605" operator="containsText" text="Deferred">
      <formula>NOT(ISERROR(SEARCH("Deferred",G30)))</formula>
    </cfRule>
    <cfRule type="containsText" dxfId="3349" priority="3606" operator="containsText" text="Deleted">
      <formula>NOT(ISERROR(SEARCH("Deleted",G30)))</formula>
    </cfRule>
    <cfRule type="containsText" dxfId="3348" priority="3607" operator="containsText" text="In Danger of Falling Behind Target">
      <formula>NOT(ISERROR(SEARCH("In Danger of Falling Behind Target",G30)))</formula>
    </cfRule>
    <cfRule type="containsText" dxfId="3347" priority="3608" operator="containsText" text="Not yet due">
      <formula>NOT(ISERROR(SEARCH("Not yet due",G30)))</formula>
    </cfRule>
    <cfRule type="containsText" dxfId="3346" priority="3609" operator="containsText" text="Update not Provided">
      <formula>NOT(ISERROR(SEARCH("Update not Provided",G30)))</formula>
    </cfRule>
    <cfRule type="containsText" dxfId="3345" priority="3610" operator="containsText" text="Not yet due">
      <formula>NOT(ISERROR(SEARCH("Not yet due",G30)))</formula>
    </cfRule>
    <cfRule type="containsText" dxfId="3344" priority="3611" operator="containsText" text="Completed Behind Schedule">
      <formula>NOT(ISERROR(SEARCH("Completed Behind Schedule",G30)))</formula>
    </cfRule>
    <cfRule type="containsText" dxfId="3343" priority="3612" operator="containsText" text="Off Target">
      <formula>NOT(ISERROR(SEARCH("Off Target",G30)))</formula>
    </cfRule>
    <cfRule type="containsText" dxfId="3342" priority="3613" operator="containsText" text="On Track to be Achieved">
      <formula>NOT(ISERROR(SEARCH("On Track to be Achieved",G30)))</formula>
    </cfRule>
    <cfRule type="containsText" dxfId="3341" priority="3614" operator="containsText" text="Fully Achieved">
      <formula>NOT(ISERROR(SEARCH("Fully Achieved",G30)))</formula>
    </cfRule>
    <cfRule type="containsText" dxfId="3340" priority="3615" operator="containsText" text="Not yet due">
      <formula>NOT(ISERROR(SEARCH("Not yet due",G30)))</formula>
    </cfRule>
    <cfRule type="containsText" dxfId="3339" priority="3616" operator="containsText" text="Not Yet Due">
      <formula>NOT(ISERROR(SEARCH("Not Yet Due",G30)))</formula>
    </cfRule>
    <cfRule type="containsText" dxfId="3338" priority="3617" operator="containsText" text="Deferred">
      <formula>NOT(ISERROR(SEARCH("Deferred",G30)))</formula>
    </cfRule>
    <cfRule type="containsText" dxfId="3337" priority="3618" operator="containsText" text="Deleted">
      <formula>NOT(ISERROR(SEARCH("Deleted",G30)))</formula>
    </cfRule>
    <cfRule type="containsText" dxfId="3336" priority="3619" operator="containsText" text="In Danger of Falling Behind Target">
      <formula>NOT(ISERROR(SEARCH("In Danger of Falling Behind Target",G30)))</formula>
    </cfRule>
    <cfRule type="containsText" dxfId="3335" priority="3620" operator="containsText" text="Not yet due">
      <formula>NOT(ISERROR(SEARCH("Not yet due",G30)))</formula>
    </cfRule>
    <cfRule type="containsText" dxfId="3334" priority="3621" operator="containsText" text="Completed Behind Schedule">
      <formula>NOT(ISERROR(SEARCH("Completed Behind Schedule",G30)))</formula>
    </cfRule>
    <cfRule type="containsText" dxfId="3333" priority="3622" operator="containsText" text="Off Target">
      <formula>NOT(ISERROR(SEARCH("Off Target",G30)))</formula>
    </cfRule>
    <cfRule type="containsText" dxfId="3332" priority="3623" operator="containsText" text="In Danger of Falling Behind Target">
      <formula>NOT(ISERROR(SEARCH("In Danger of Falling Behind Target",G30)))</formula>
    </cfRule>
    <cfRule type="containsText" dxfId="3331" priority="3624" operator="containsText" text="On Track to be Achieved">
      <formula>NOT(ISERROR(SEARCH("On Track to be Achieved",G30)))</formula>
    </cfRule>
    <cfRule type="containsText" dxfId="3330" priority="3625" operator="containsText" text="Fully Achieved">
      <formula>NOT(ISERROR(SEARCH("Fully Achieved",G30)))</formula>
    </cfRule>
    <cfRule type="containsText" dxfId="3329" priority="3626" operator="containsText" text="Update not Provided">
      <formula>NOT(ISERROR(SEARCH("Update not Provided",G30)))</formula>
    </cfRule>
    <cfRule type="containsText" dxfId="3328" priority="3627" operator="containsText" text="Not yet due">
      <formula>NOT(ISERROR(SEARCH("Not yet due",G30)))</formula>
    </cfRule>
    <cfRule type="containsText" dxfId="3327" priority="3628" operator="containsText" text="Completed Behind Schedule">
      <formula>NOT(ISERROR(SEARCH("Completed Behind Schedule",G30)))</formula>
    </cfRule>
    <cfRule type="containsText" dxfId="3326" priority="3629" operator="containsText" text="Off Target">
      <formula>NOT(ISERROR(SEARCH("Off Target",G30)))</formula>
    </cfRule>
    <cfRule type="containsText" dxfId="3325" priority="3630" operator="containsText" text="In Danger of Falling Behind Target">
      <formula>NOT(ISERROR(SEARCH("In Danger of Falling Behind Target",G30)))</formula>
    </cfRule>
    <cfRule type="containsText" dxfId="3324" priority="3631" operator="containsText" text="On Track to be Achieved">
      <formula>NOT(ISERROR(SEARCH("On Track to be Achieved",G30)))</formula>
    </cfRule>
    <cfRule type="containsText" dxfId="3323" priority="3632" operator="containsText" text="Fully Achieved">
      <formula>NOT(ISERROR(SEARCH("Fully Achieved",G30)))</formula>
    </cfRule>
    <cfRule type="containsText" dxfId="3322" priority="3633" operator="containsText" text="Fully Achieved">
      <formula>NOT(ISERROR(SEARCH("Fully Achieved",G30)))</formula>
    </cfRule>
    <cfRule type="containsText" dxfId="3321" priority="3634" operator="containsText" text="Fully Achieved">
      <formula>NOT(ISERROR(SEARCH("Fully Achieved",G30)))</formula>
    </cfRule>
    <cfRule type="containsText" dxfId="3320" priority="3635" operator="containsText" text="Deferred">
      <formula>NOT(ISERROR(SEARCH("Deferred",G30)))</formula>
    </cfRule>
    <cfRule type="containsText" dxfId="3319" priority="3636" operator="containsText" text="Deleted">
      <formula>NOT(ISERROR(SEARCH("Deleted",G30)))</formula>
    </cfRule>
    <cfRule type="containsText" dxfId="3318" priority="3637" operator="containsText" text="In Danger of Falling Behind Target">
      <formula>NOT(ISERROR(SEARCH("In Danger of Falling Behind Target",G30)))</formula>
    </cfRule>
    <cfRule type="containsText" dxfId="3317" priority="3638" operator="containsText" text="Not yet due">
      <formula>NOT(ISERROR(SEARCH("Not yet due",G30)))</formula>
    </cfRule>
    <cfRule type="containsText" dxfId="3316" priority="3639" operator="containsText" text="Update not Provided">
      <formula>NOT(ISERROR(SEARCH("Update not Provided",G30)))</formula>
    </cfRule>
  </conditionalFormatting>
  <conditionalFormatting sqref="G38:G39">
    <cfRule type="containsText" dxfId="3315" priority="3568" operator="containsText" text="On track to be achieved">
      <formula>NOT(ISERROR(SEARCH("On track to be achieved",G38)))</formula>
    </cfRule>
    <cfRule type="containsText" dxfId="3314" priority="3569" operator="containsText" text="Deferred">
      <formula>NOT(ISERROR(SEARCH("Deferred",G38)))</formula>
    </cfRule>
    <cfRule type="containsText" dxfId="3313" priority="3570" operator="containsText" text="Deleted">
      <formula>NOT(ISERROR(SEARCH("Deleted",G38)))</formula>
    </cfRule>
    <cfRule type="containsText" dxfId="3312" priority="3571" operator="containsText" text="In Danger of Falling Behind Target">
      <formula>NOT(ISERROR(SEARCH("In Danger of Falling Behind Target",G38)))</formula>
    </cfRule>
    <cfRule type="containsText" dxfId="3311" priority="3572" operator="containsText" text="Not yet due">
      <formula>NOT(ISERROR(SEARCH("Not yet due",G38)))</formula>
    </cfRule>
    <cfRule type="containsText" dxfId="3310" priority="3573" operator="containsText" text="Update not Provided">
      <formula>NOT(ISERROR(SEARCH("Update not Provided",G38)))</formula>
    </cfRule>
    <cfRule type="containsText" dxfId="3309" priority="3574" operator="containsText" text="Not yet due">
      <formula>NOT(ISERROR(SEARCH("Not yet due",G38)))</formula>
    </cfRule>
    <cfRule type="containsText" dxfId="3308" priority="3575" operator="containsText" text="Completed Behind Schedule">
      <formula>NOT(ISERROR(SEARCH("Completed Behind Schedule",G38)))</formula>
    </cfRule>
    <cfRule type="containsText" dxfId="3307" priority="3576" operator="containsText" text="Off Target">
      <formula>NOT(ISERROR(SEARCH("Off Target",G38)))</formula>
    </cfRule>
    <cfRule type="containsText" dxfId="3306" priority="3577" operator="containsText" text="On Track to be Achieved">
      <formula>NOT(ISERROR(SEARCH("On Track to be Achieved",G38)))</formula>
    </cfRule>
    <cfRule type="containsText" dxfId="3305" priority="3578" operator="containsText" text="Fully Achieved">
      <formula>NOT(ISERROR(SEARCH("Fully Achieved",G38)))</formula>
    </cfRule>
    <cfRule type="containsText" dxfId="3304" priority="3579" operator="containsText" text="Not yet due">
      <formula>NOT(ISERROR(SEARCH("Not yet due",G38)))</formula>
    </cfRule>
    <cfRule type="containsText" dxfId="3303" priority="3580" operator="containsText" text="Not Yet Due">
      <formula>NOT(ISERROR(SEARCH("Not Yet Due",G38)))</formula>
    </cfRule>
    <cfRule type="containsText" dxfId="3302" priority="3581" operator="containsText" text="Deferred">
      <formula>NOT(ISERROR(SEARCH("Deferred",G38)))</formula>
    </cfRule>
    <cfRule type="containsText" dxfId="3301" priority="3582" operator="containsText" text="Deleted">
      <formula>NOT(ISERROR(SEARCH("Deleted",G38)))</formula>
    </cfRule>
    <cfRule type="containsText" dxfId="3300" priority="3583" operator="containsText" text="In Danger of Falling Behind Target">
      <formula>NOT(ISERROR(SEARCH("In Danger of Falling Behind Target",G38)))</formula>
    </cfRule>
    <cfRule type="containsText" dxfId="3299" priority="3584" operator="containsText" text="Not yet due">
      <formula>NOT(ISERROR(SEARCH("Not yet due",G38)))</formula>
    </cfRule>
    <cfRule type="containsText" dxfId="3298" priority="3585" operator="containsText" text="Completed Behind Schedule">
      <formula>NOT(ISERROR(SEARCH("Completed Behind Schedule",G38)))</formula>
    </cfRule>
    <cfRule type="containsText" dxfId="3297" priority="3586" operator="containsText" text="Off Target">
      <formula>NOT(ISERROR(SEARCH("Off Target",G38)))</formula>
    </cfRule>
    <cfRule type="containsText" dxfId="3296" priority="3587" operator="containsText" text="In Danger of Falling Behind Target">
      <formula>NOT(ISERROR(SEARCH("In Danger of Falling Behind Target",G38)))</formula>
    </cfRule>
    <cfRule type="containsText" dxfId="3295" priority="3588" operator="containsText" text="On Track to be Achieved">
      <formula>NOT(ISERROR(SEARCH("On Track to be Achieved",G38)))</formula>
    </cfRule>
    <cfRule type="containsText" dxfId="3294" priority="3589" operator="containsText" text="Fully Achieved">
      <formula>NOT(ISERROR(SEARCH("Fully Achieved",G38)))</formula>
    </cfRule>
    <cfRule type="containsText" dxfId="3293" priority="3590" operator="containsText" text="Update not Provided">
      <formula>NOT(ISERROR(SEARCH("Update not Provided",G38)))</formula>
    </cfRule>
    <cfRule type="containsText" dxfId="3292" priority="3591" operator="containsText" text="Not yet due">
      <formula>NOT(ISERROR(SEARCH("Not yet due",G38)))</formula>
    </cfRule>
    <cfRule type="containsText" dxfId="3291" priority="3592" operator="containsText" text="Completed Behind Schedule">
      <formula>NOT(ISERROR(SEARCH("Completed Behind Schedule",G38)))</formula>
    </cfRule>
    <cfRule type="containsText" dxfId="3290" priority="3593" operator="containsText" text="Off Target">
      <formula>NOT(ISERROR(SEARCH("Off Target",G38)))</formula>
    </cfRule>
    <cfRule type="containsText" dxfId="3289" priority="3594" operator="containsText" text="In Danger of Falling Behind Target">
      <formula>NOT(ISERROR(SEARCH("In Danger of Falling Behind Target",G38)))</formula>
    </cfRule>
    <cfRule type="containsText" dxfId="3288" priority="3595" operator="containsText" text="On Track to be Achieved">
      <formula>NOT(ISERROR(SEARCH("On Track to be Achieved",G38)))</formula>
    </cfRule>
    <cfRule type="containsText" dxfId="3287" priority="3596" operator="containsText" text="Fully Achieved">
      <formula>NOT(ISERROR(SEARCH("Fully Achieved",G38)))</formula>
    </cfRule>
    <cfRule type="containsText" dxfId="3286" priority="3597" operator="containsText" text="Fully Achieved">
      <formula>NOT(ISERROR(SEARCH("Fully Achieved",G38)))</formula>
    </cfRule>
    <cfRule type="containsText" dxfId="3285" priority="3598" operator="containsText" text="Fully Achieved">
      <formula>NOT(ISERROR(SEARCH("Fully Achieved",G38)))</formula>
    </cfRule>
    <cfRule type="containsText" dxfId="3284" priority="3599" operator="containsText" text="Deferred">
      <formula>NOT(ISERROR(SEARCH("Deferred",G38)))</formula>
    </cfRule>
    <cfRule type="containsText" dxfId="3283" priority="3600" operator="containsText" text="Deleted">
      <formula>NOT(ISERROR(SEARCH("Deleted",G38)))</formula>
    </cfRule>
    <cfRule type="containsText" dxfId="3282" priority="3601" operator="containsText" text="In Danger of Falling Behind Target">
      <formula>NOT(ISERROR(SEARCH("In Danger of Falling Behind Target",G38)))</formula>
    </cfRule>
    <cfRule type="containsText" dxfId="3281" priority="3602" operator="containsText" text="Not yet due">
      <formula>NOT(ISERROR(SEARCH("Not yet due",G38)))</formula>
    </cfRule>
    <cfRule type="containsText" dxfId="3280" priority="3603" operator="containsText" text="Update not Provided">
      <formula>NOT(ISERROR(SEARCH("Update not Provided",G38)))</formula>
    </cfRule>
  </conditionalFormatting>
  <conditionalFormatting sqref="G38:G39">
    <cfRule type="containsText" dxfId="3279" priority="3532" operator="containsText" text="On track to be achieved">
      <formula>NOT(ISERROR(SEARCH("On track to be achieved",G38)))</formula>
    </cfRule>
    <cfRule type="containsText" dxfId="3278" priority="3533" operator="containsText" text="Deferred">
      <formula>NOT(ISERROR(SEARCH("Deferred",G38)))</formula>
    </cfRule>
    <cfRule type="containsText" dxfId="3277" priority="3534" operator="containsText" text="Deleted">
      <formula>NOT(ISERROR(SEARCH("Deleted",G38)))</formula>
    </cfRule>
    <cfRule type="containsText" dxfId="3276" priority="3535" operator="containsText" text="In Danger of Falling Behind Target">
      <formula>NOT(ISERROR(SEARCH("In Danger of Falling Behind Target",G38)))</formula>
    </cfRule>
    <cfRule type="containsText" dxfId="3275" priority="3536" operator="containsText" text="Not yet due">
      <formula>NOT(ISERROR(SEARCH("Not yet due",G38)))</formula>
    </cfRule>
    <cfRule type="containsText" dxfId="3274" priority="3537" operator="containsText" text="Update not Provided">
      <formula>NOT(ISERROR(SEARCH("Update not Provided",G38)))</formula>
    </cfRule>
    <cfRule type="containsText" dxfId="3273" priority="3538" operator="containsText" text="Not yet due">
      <formula>NOT(ISERROR(SEARCH("Not yet due",G38)))</formula>
    </cfRule>
    <cfRule type="containsText" dxfId="3272" priority="3539" operator="containsText" text="Completed Behind Schedule">
      <formula>NOT(ISERROR(SEARCH("Completed Behind Schedule",G38)))</formula>
    </cfRule>
    <cfRule type="containsText" dxfId="3271" priority="3540" operator="containsText" text="Off Target">
      <formula>NOT(ISERROR(SEARCH("Off Target",G38)))</formula>
    </cfRule>
    <cfRule type="containsText" dxfId="3270" priority="3541" operator="containsText" text="On Track to be Achieved">
      <formula>NOT(ISERROR(SEARCH("On Track to be Achieved",G38)))</formula>
    </cfRule>
    <cfRule type="containsText" dxfId="3269" priority="3542" operator="containsText" text="Fully Achieved">
      <formula>NOT(ISERROR(SEARCH("Fully Achieved",G38)))</formula>
    </cfRule>
    <cfRule type="containsText" dxfId="3268" priority="3543" operator="containsText" text="Not yet due">
      <formula>NOT(ISERROR(SEARCH("Not yet due",G38)))</formula>
    </cfRule>
    <cfRule type="containsText" dxfId="3267" priority="3544" operator="containsText" text="Not Yet Due">
      <formula>NOT(ISERROR(SEARCH("Not Yet Due",G38)))</formula>
    </cfRule>
    <cfRule type="containsText" dxfId="3266" priority="3545" operator="containsText" text="Deferred">
      <formula>NOT(ISERROR(SEARCH("Deferred",G38)))</formula>
    </cfRule>
    <cfRule type="containsText" dxfId="3265" priority="3546" operator="containsText" text="Deleted">
      <formula>NOT(ISERROR(SEARCH("Deleted",G38)))</formula>
    </cfRule>
    <cfRule type="containsText" dxfId="3264" priority="3547" operator="containsText" text="In Danger of Falling Behind Target">
      <formula>NOT(ISERROR(SEARCH("In Danger of Falling Behind Target",G38)))</formula>
    </cfRule>
    <cfRule type="containsText" dxfId="3263" priority="3548" operator="containsText" text="Not yet due">
      <formula>NOT(ISERROR(SEARCH("Not yet due",G38)))</formula>
    </cfRule>
    <cfRule type="containsText" dxfId="3262" priority="3549" operator="containsText" text="Completed Behind Schedule">
      <formula>NOT(ISERROR(SEARCH("Completed Behind Schedule",G38)))</formula>
    </cfRule>
    <cfRule type="containsText" dxfId="3261" priority="3550" operator="containsText" text="Off Target">
      <formula>NOT(ISERROR(SEARCH("Off Target",G38)))</formula>
    </cfRule>
    <cfRule type="containsText" dxfId="3260" priority="3551" operator="containsText" text="In Danger of Falling Behind Target">
      <formula>NOT(ISERROR(SEARCH("In Danger of Falling Behind Target",G38)))</formula>
    </cfRule>
    <cfRule type="containsText" dxfId="3259" priority="3552" operator="containsText" text="On Track to be Achieved">
      <formula>NOT(ISERROR(SEARCH("On Track to be Achieved",G38)))</formula>
    </cfRule>
    <cfRule type="containsText" dxfId="3258" priority="3553" operator="containsText" text="Fully Achieved">
      <formula>NOT(ISERROR(SEARCH("Fully Achieved",G38)))</formula>
    </cfRule>
    <cfRule type="containsText" dxfId="3257" priority="3554" operator="containsText" text="Update not Provided">
      <formula>NOT(ISERROR(SEARCH("Update not Provided",G38)))</formula>
    </cfRule>
    <cfRule type="containsText" dxfId="3256" priority="3555" operator="containsText" text="Not yet due">
      <formula>NOT(ISERROR(SEARCH("Not yet due",G38)))</formula>
    </cfRule>
    <cfRule type="containsText" dxfId="3255" priority="3556" operator="containsText" text="Completed Behind Schedule">
      <formula>NOT(ISERROR(SEARCH("Completed Behind Schedule",G38)))</formula>
    </cfRule>
    <cfRule type="containsText" dxfId="3254" priority="3557" operator="containsText" text="Off Target">
      <formula>NOT(ISERROR(SEARCH("Off Target",G38)))</formula>
    </cfRule>
    <cfRule type="containsText" dxfId="3253" priority="3558" operator="containsText" text="In Danger of Falling Behind Target">
      <formula>NOT(ISERROR(SEARCH("In Danger of Falling Behind Target",G38)))</formula>
    </cfRule>
    <cfRule type="containsText" dxfId="3252" priority="3559" operator="containsText" text="On Track to be Achieved">
      <formula>NOT(ISERROR(SEARCH("On Track to be Achieved",G38)))</formula>
    </cfRule>
    <cfRule type="containsText" dxfId="3251" priority="3560" operator="containsText" text="Fully Achieved">
      <formula>NOT(ISERROR(SEARCH("Fully Achieved",G38)))</formula>
    </cfRule>
    <cfRule type="containsText" dxfId="3250" priority="3561" operator="containsText" text="Fully Achieved">
      <formula>NOT(ISERROR(SEARCH("Fully Achieved",G38)))</formula>
    </cfRule>
    <cfRule type="containsText" dxfId="3249" priority="3562" operator="containsText" text="Fully Achieved">
      <formula>NOT(ISERROR(SEARCH("Fully Achieved",G38)))</formula>
    </cfRule>
    <cfRule type="containsText" dxfId="3248" priority="3563" operator="containsText" text="Deferred">
      <formula>NOT(ISERROR(SEARCH("Deferred",G38)))</formula>
    </cfRule>
    <cfRule type="containsText" dxfId="3247" priority="3564" operator="containsText" text="Deleted">
      <formula>NOT(ISERROR(SEARCH("Deleted",G38)))</formula>
    </cfRule>
    <cfRule type="containsText" dxfId="3246" priority="3565" operator="containsText" text="In Danger of Falling Behind Target">
      <formula>NOT(ISERROR(SEARCH("In Danger of Falling Behind Target",G38)))</formula>
    </cfRule>
    <cfRule type="containsText" dxfId="3245" priority="3566" operator="containsText" text="Not yet due">
      <formula>NOT(ISERROR(SEARCH("Not yet due",G38)))</formula>
    </cfRule>
    <cfRule type="containsText" dxfId="3244" priority="3567" operator="containsText" text="Update not Provided">
      <formula>NOT(ISERROR(SEARCH("Update not Provided",G38)))</formula>
    </cfRule>
  </conditionalFormatting>
  <conditionalFormatting sqref="G40:G41">
    <cfRule type="containsText" dxfId="3243" priority="3496" operator="containsText" text="On track to be achieved">
      <formula>NOT(ISERROR(SEARCH("On track to be achieved",G40)))</formula>
    </cfRule>
    <cfRule type="containsText" dxfId="3242" priority="3497" operator="containsText" text="Deferred">
      <formula>NOT(ISERROR(SEARCH("Deferred",G40)))</formula>
    </cfRule>
    <cfRule type="containsText" dxfId="3241" priority="3498" operator="containsText" text="Deleted">
      <formula>NOT(ISERROR(SEARCH("Deleted",G40)))</formula>
    </cfRule>
    <cfRule type="containsText" dxfId="3240" priority="3499" operator="containsText" text="In Danger of Falling Behind Target">
      <formula>NOT(ISERROR(SEARCH("In Danger of Falling Behind Target",G40)))</formula>
    </cfRule>
    <cfRule type="containsText" dxfId="3239" priority="3500" operator="containsText" text="Not yet due">
      <formula>NOT(ISERROR(SEARCH("Not yet due",G40)))</formula>
    </cfRule>
    <cfRule type="containsText" dxfId="3238" priority="3501" operator="containsText" text="Update not Provided">
      <formula>NOT(ISERROR(SEARCH("Update not Provided",G40)))</formula>
    </cfRule>
    <cfRule type="containsText" dxfId="3237" priority="3502" operator="containsText" text="Not yet due">
      <formula>NOT(ISERROR(SEARCH("Not yet due",G40)))</formula>
    </cfRule>
    <cfRule type="containsText" dxfId="3236" priority="3503" operator="containsText" text="Completed Behind Schedule">
      <formula>NOT(ISERROR(SEARCH("Completed Behind Schedule",G40)))</formula>
    </cfRule>
    <cfRule type="containsText" dxfId="3235" priority="3504" operator="containsText" text="Off Target">
      <formula>NOT(ISERROR(SEARCH("Off Target",G40)))</formula>
    </cfRule>
    <cfRule type="containsText" dxfId="3234" priority="3505" operator="containsText" text="On Track to be Achieved">
      <formula>NOT(ISERROR(SEARCH("On Track to be Achieved",G40)))</formula>
    </cfRule>
    <cfRule type="containsText" dxfId="3233" priority="3506" operator="containsText" text="Fully Achieved">
      <formula>NOT(ISERROR(SEARCH("Fully Achieved",G40)))</formula>
    </cfRule>
    <cfRule type="containsText" dxfId="3232" priority="3507" operator="containsText" text="Not yet due">
      <formula>NOT(ISERROR(SEARCH("Not yet due",G40)))</formula>
    </cfRule>
    <cfRule type="containsText" dxfId="3231" priority="3508" operator="containsText" text="Not Yet Due">
      <formula>NOT(ISERROR(SEARCH("Not Yet Due",G40)))</formula>
    </cfRule>
    <cfRule type="containsText" dxfId="3230" priority="3509" operator="containsText" text="Deferred">
      <formula>NOT(ISERROR(SEARCH("Deferred",G40)))</formula>
    </cfRule>
    <cfRule type="containsText" dxfId="3229" priority="3510" operator="containsText" text="Deleted">
      <formula>NOT(ISERROR(SEARCH("Deleted",G40)))</formula>
    </cfRule>
    <cfRule type="containsText" dxfId="3228" priority="3511" operator="containsText" text="In Danger of Falling Behind Target">
      <formula>NOT(ISERROR(SEARCH("In Danger of Falling Behind Target",G40)))</formula>
    </cfRule>
    <cfRule type="containsText" dxfId="3227" priority="3512" operator="containsText" text="Not yet due">
      <formula>NOT(ISERROR(SEARCH("Not yet due",G40)))</formula>
    </cfRule>
    <cfRule type="containsText" dxfId="3226" priority="3513" operator="containsText" text="Completed Behind Schedule">
      <formula>NOT(ISERROR(SEARCH("Completed Behind Schedule",G40)))</formula>
    </cfRule>
    <cfRule type="containsText" dxfId="3225" priority="3514" operator="containsText" text="Off Target">
      <formula>NOT(ISERROR(SEARCH("Off Target",G40)))</formula>
    </cfRule>
    <cfRule type="containsText" dxfId="3224" priority="3515" operator="containsText" text="In Danger of Falling Behind Target">
      <formula>NOT(ISERROR(SEARCH("In Danger of Falling Behind Target",G40)))</formula>
    </cfRule>
    <cfRule type="containsText" dxfId="3223" priority="3516" operator="containsText" text="On Track to be Achieved">
      <formula>NOT(ISERROR(SEARCH("On Track to be Achieved",G40)))</formula>
    </cfRule>
    <cfRule type="containsText" dxfId="3222" priority="3517" operator="containsText" text="Fully Achieved">
      <formula>NOT(ISERROR(SEARCH("Fully Achieved",G40)))</formula>
    </cfRule>
    <cfRule type="containsText" dxfId="3221" priority="3518" operator="containsText" text="Update not Provided">
      <formula>NOT(ISERROR(SEARCH("Update not Provided",G40)))</formula>
    </cfRule>
    <cfRule type="containsText" dxfId="3220" priority="3519" operator="containsText" text="Not yet due">
      <formula>NOT(ISERROR(SEARCH("Not yet due",G40)))</formula>
    </cfRule>
    <cfRule type="containsText" dxfId="3219" priority="3520" operator="containsText" text="Completed Behind Schedule">
      <formula>NOT(ISERROR(SEARCH("Completed Behind Schedule",G40)))</formula>
    </cfRule>
    <cfRule type="containsText" dxfId="3218" priority="3521" operator="containsText" text="Off Target">
      <formula>NOT(ISERROR(SEARCH("Off Target",G40)))</formula>
    </cfRule>
    <cfRule type="containsText" dxfId="3217" priority="3522" operator="containsText" text="In Danger of Falling Behind Target">
      <formula>NOT(ISERROR(SEARCH("In Danger of Falling Behind Target",G40)))</formula>
    </cfRule>
    <cfRule type="containsText" dxfId="3216" priority="3523" operator="containsText" text="On Track to be Achieved">
      <formula>NOT(ISERROR(SEARCH("On Track to be Achieved",G40)))</formula>
    </cfRule>
    <cfRule type="containsText" dxfId="3215" priority="3524" operator="containsText" text="Fully Achieved">
      <formula>NOT(ISERROR(SEARCH("Fully Achieved",G40)))</formula>
    </cfRule>
    <cfRule type="containsText" dxfId="3214" priority="3525" operator="containsText" text="Fully Achieved">
      <formula>NOT(ISERROR(SEARCH("Fully Achieved",G40)))</formula>
    </cfRule>
    <cfRule type="containsText" dxfId="3213" priority="3526" operator="containsText" text="Fully Achieved">
      <formula>NOT(ISERROR(SEARCH("Fully Achieved",G40)))</formula>
    </cfRule>
    <cfRule type="containsText" dxfId="3212" priority="3527" operator="containsText" text="Deferred">
      <formula>NOT(ISERROR(SEARCH("Deferred",G40)))</formula>
    </cfRule>
    <cfRule type="containsText" dxfId="3211" priority="3528" operator="containsText" text="Deleted">
      <formula>NOT(ISERROR(SEARCH("Deleted",G40)))</formula>
    </cfRule>
    <cfRule type="containsText" dxfId="3210" priority="3529" operator="containsText" text="In Danger of Falling Behind Target">
      <formula>NOT(ISERROR(SEARCH("In Danger of Falling Behind Target",G40)))</formula>
    </cfRule>
    <cfRule type="containsText" dxfId="3209" priority="3530" operator="containsText" text="Not yet due">
      <formula>NOT(ISERROR(SEARCH("Not yet due",G40)))</formula>
    </cfRule>
    <cfRule type="containsText" dxfId="3208" priority="3531" operator="containsText" text="Update not Provided">
      <formula>NOT(ISERROR(SEARCH("Update not Provided",G40)))</formula>
    </cfRule>
  </conditionalFormatting>
  <conditionalFormatting sqref="G42">
    <cfRule type="containsText" dxfId="3207" priority="3460" operator="containsText" text="On track to be achieved">
      <formula>NOT(ISERROR(SEARCH("On track to be achieved",G42)))</formula>
    </cfRule>
    <cfRule type="containsText" dxfId="3206" priority="3461" operator="containsText" text="Deferred">
      <formula>NOT(ISERROR(SEARCH("Deferred",G42)))</formula>
    </cfRule>
    <cfRule type="containsText" dxfId="3205" priority="3462" operator="containsText" text="Deleted">
      <formula>NOT(ISERROR(SEARCH("Deleted",G42)))</formula>
    </cfRule>
    <cfRule type="containsText" dxfId="3204" priority="3463" operator="containsText" text="In Danger of Falling Behind Target">
      <formula>NOT(ISERROR(SEARCH("In Danger of Falling Behind Target",G42)))</formula>
    </cfRule>
    <cfRule type="containsText" dxfId="3203" priority="3464" operator="containsText" text="Not yet due">
      <formula>NOT(ISERROR(SEARCH("Not yet due",G42)))</formula>
    </cfRule>
    <cfRule type="containsText" dxfId="3202" priority="3465" operator="containsText" text="Update not Provided">
      <formula>NOT(ISERROR(SEARCH("Update not Provided",G42)))</formula>
    </cfRule>
    <cfRule type="containsText" dxfId="3201" priority="3466" operator="containsText" text="Not yet due">
      <formula>NOT(ISERROR(SEARCH("Not yet due",G42)))</formula>
    </cfRule>
    <cfRule type="containsText" dxfId="3200" priority="3467" operator="containsText" text="Completed Behind Schedule">
      <formula>NOT(ISERROR(SEARCH("Completed Behind Schedule",G42)))</formula>
    </cfRule>
    <cfRule type="containsText" dxfId="3199" priority="3468" operator="containsText" text="Off Target">
      <formula>NOT(ISERROR(SEARCH("Off Target",G42)))</formula>
    </cfRule>
    <cfRule type="containsText" dxfId="3198" priority="3469" operator="containsText" text="On Track to be Achieved">
      <formula>NOT(ISERROR(SEARCH("On Track to be Achieved",G42)))</formula>
    </cfRule>
    <cfRule type="containsText" dxfId="3197" priority="3470" operator="containsText" text="Fully Achieved">
      <formula>NOT(ISERROR(SEARCH("Fully Achieved",G42)))</formula>
    </cfRule>
    <cfRule type="containsText" dxfId="3196" priority="3471" operator="containsText" text="Not yet due">
      <formula>NOT(ISERROR(SEARCH("Not yet due",G42)))</formula>
    </cfRule>
    <cfRule type="containsText" dxfId="3195" priority="3472" operator="containsText" text="Not Yet Due">
      <formula>NOT(ISERROR(SEARCH("Not Yet Due",G42)))</formula>
    </cfRule>
    <cfRule type="containsText" dxfId="3194" priority="3473" operator="containsText" text="Deferred">
      <formula>NOT(ISERROR(SEARCH("Deferred",G42)))</formula>
    </cfRule>
    <cfRule type="containsText" dxfId="3193" priority="3474" operator="containsText" text="Deleted">
      <formula>NOT(ISERROR(SEARCH("Deleted",G42)))</formula>
    </cfRule>
    <cfRule type="containsText" dxfId="3192" priority="3475" operator="containsText" text="In Danger of Falling Behind Target">
      <formula>NOT(ISERROR(SEARCH("In Danger of Falling Behind Target",G42)))</formula>
    </cfRule>
    <cfRule type="containsText" dxfId="3191" priority="3476" operator="containsText" text="Not yet due">
      <formula>NOT(ISERROR(SEARCH("Not yet due",G42)))</formula>
    </cfRule>
    <cfRule type="containsText" dxfId="3190" priority="3477" operator="containsText" text="Completed Behind Schedule">
      <formula>NOT(ISERROR(SEARCH("Completed Behind Schedule",G42)))</formula>
    </cfRule>
    <cfRule type="containsText" dxfId="3189" priority="3478" operator="containsText" text="Off Target">
      <formula>NOT(ISERROR(SEARCH("Off Target",G42)))</formula>
    </cfRule>
    <cfRule type="containsText" dxfId="3188" priority="3479" operator="containsText" text="In Danger of Falling Behind Target">
      <formula>NOT(ISERROR(SEARCH("In Danger of Falling Behind Target",G42)))</formula>
    </cfRule>
    <cfRule type="containsText" dxfId="3187" priority="3480" operator="containsText" text="On Track to be Achieved">
      <formula>NOT(ISERROR(SEARCH("On Track to be Achieved",G42)))</formula>
    </cfRule>
    <cfRule type="containsText" dxfId="3186" priority="3481" operator="containsText" text="Fully Achieved">
      <formula>NOT(ISERROR(SEARCH("Fully Achieved",G42)))</formula>
    </cfRule>
    <cfRule type="containsText" dxfId="3185" priority="3482" operator="containsText" text="Update not Provided">
      <formula>NOT(ISERROR(SEARCH("Update not Provided",G42)))</formula>
    </cfRule>
    <cfRule type="containsText" dxfId="3184" priority="3483" operator="containsText" text="Not yet due">
      <formula>NOT(ISERROR(SEARCH("Not yet due",G42)))</formula>
    </cfRule>
    <cfRule type="containsText" dxfId="3183" priority="3484" operator="containsText" text="Completed Behind Schedule">
      <formula>NOT(ISERROR(SEARCH("Completed Behind Schedule",G42)))</formula>
    </cfRule>
    <cfRule type="containsText" dxfId="3182" priority="3485" operator="containsText" text="Off Target">
      <formula>NOT(ISERROR(SEARCH("Off Target",G42)))</formula>
    </cfRule>
    <cfRule type="containsText" dxfId="3181" priority="3486" operator="containsText" text="In Danger of Falling Behind Target">
      <formula>NOT(ISERROR(SEARCH("In Danger of Falling Behind Target",G42)))</formula>
    </cfRule>
    <cfRule type="containsText" dxfId="3180" priority="3487" operator="containsText" text="On Track to be Achieved">
      <formula>NOT(ISERROR(SEARCH("On Track to be Achieved",G42)))</formula>
    </cfRule>
    <cfRule type="containsText" dxfId="3179" priority="3488" operator="containsText" text="Fully Achieved">
      <formula>NOT(ISERROR(SEARCH("Fully Achieved",G42)))</formula>
    </cfRule>
    <cfRule type="containsText" dxfId="3178" priority="3489" operator="containsText" text="Fully Achieved">
      <formula>NOT(ISERROR(SEARCH("Fully Achieved",G42)))</formula>
    </cfRule>
    <cfRule type="containsText" dxfId="3177" priority="3490" operator="containsText" text="Fully Achieved">
      <formula>NOT(ISERROR(SEARCH("Fully Achieved",G42)))</formula>
    </cfRule>
    <cfRule type="containsText" dxfId="3176" priority="3491" operator="containsText" text="Deferred">
      <formula>NOT(ISERROR(SEARCH("Deferred",G42)))</formula>
    </cfRule>
    <cfRule type="containsText" dxfId="3175" priority="3492" operator="containsText" text="Deleted">
      <formula>NOT(ISERROR(SEARCH("Deleted",G42)))</formula>
    </cfRule>
    <cfRule type="containsText" dxfId="3174" priority="3493" operator="containsText" text="In Danger of Falling Behind Target">
      <formula>NOT(ISERROR(SEARCH("In Danger of Falling Behind Target",G42)))</formula>
    </cfRule>
    <cfRule type="containsText" dxfId="3173" priority="3494" operator="containsText" text="Not yet due">
      <formula>NOT(ISERROR(SEARCH("Not yet due",G42)))</formula>
    </cfRule>
    <cfRule type="containsText" dxfId="3172" priority="3495" operator="containsText" text="Update not Provided">
      <formula>NOT(ISERROR(SEARCH("Update not Provided",G42)))</formula>
    </cfRule>
  </conditionalFormatting>
  <conditionalFormatting sqref="G42">
    <cfRule type="containsText" dxfId="3171" priority="3424" operator="containsText" text="On track to be achieved">
      <formula>NOT(ISERROR(SEARCH("On track to be achieved",G42)))</formula>
    </cfRule>
    <cfRule type="containsText" dxfId="3170" priority="3425" operator="containsText" text="Deferred">
      <formula>NOT(ISERROR(SEARCH("Deferred",G42)))</formula>
    </cfRule>
    <cfRule type="containsText" dxfId="3169" priority="3426" operator="containsText" text="Deleted">
      <formula>NOT(ISERROR(SEARCH("Deleted",G42)))</formula>
    </cfRule>
    <cfRule type="containsText" dxfId="3168" priority="3427" operator="containsText" text="In Danger of Falling Behind Target">
      <formula>NOT(ISERROR(SEARCH("In Danger of Falling Behind Target",G42)))</formula>
    </cfRule>
    <cfRule type="containsText" dxfId="3167" priority="3428" operator="containsText" text="Not yet due">
      <formula>NOT(ISERROR(SEARCH("Not yet due",G42)))</formula>
    </cfRule>
    <cfRule type="containsText" dxfId="3166" priority="3429" operator="containsText" text="Update not Provided">
      <formula>NOT(ISERROR(SEARCH("Update not Provided",G42)))</formula>
    </cfRule>
    <cfRule type="containsText" dxfId="3165" priority="3430" operator="containsText" text="Not yet due">
      <formula>NOT(ISERROR(SEARCH("Not yet due",G42)))</formula>
    </cfRule>
    <cfRule type="containsText" dxfId="3164" priority="3431" operator="containsText" text="Completed Behind Schedule">
      <formula>NOT(ISERROR(SEARCH("Completed Behind Schedule",G42)))</formula>
    </cfRule>
    <cfRule type="containsText" dxfId="3163" priority="3432" operator="containsText" text="Off Target">
      <formula>NOT(ISERROR(SEARCH("Off Target",G42)))</formula>
    </cfRule>
    <cfRule type="containsText" dxfId="3162" priority="3433" operator="containsText" text="On Track to be Achieved">
      <formula>NOT(ISERROR(SEARCH("On Track to be Achieved",G42)))</formula>
    </cfRule>
    <cfRule type="containsText" dxfId="3161" priority="3434" operator="containsText" text="Fully Achieved">
      <formula>NOT(ISERROR(SEARCH("Fully Achieved",G42)))</formula>
    </cfRule>
    <cfRule type="containsText" dxfId="3160" priority="3435" operator="containsText" text="Not yet due">
      <formula>NOT(ISERROR(SEARCH("Not yet due",G42)))</formula>
    </cfRule>
    <cfRule type="containsText" dxfId="3159" priority="3436" operator="containsText" text="Not Yet Due">
      <formula>NOT(ISERROR(SEARCH("Not Yet Due",G42)))</formula>
    </cfRule>
    <cfRule type="containsText" dxfId="3158" priority="3437" operator="containsText" text="Deferred">
      <formula>NOT(ISERROR(SEARCH("Deferred",G42)))</formula>
    </cfRule>
    <cfRule type="containsText" dxfId="3157" priority="3438" operator="containsText" text="Deleted">
      <formula>NOT(ISERROR(SEARCH("Deleted",G42)))</formula>
    </cfRule>
    <cfRule type="containsText" dxfId="3156" priority="3439" operator="containsText" text="In Danger of Falling Behind Target">
      <formula>NOT(ISERROR(SEARCH("In Danger of Falling Behind Target",G42)))</formula>
    </cfRule>
    <cfRule type="containsText" dxfId="3155" priority="3440" operator="containsText" text="Not yet due">
      <formula>NOT(ISERROR(SEARCH("Not yet due",G42)))</formula>
    </cfRule>
    <cfRule type="containsText" dxfId="3154" priority="3441" operator="containsText" text="Completed Behind Schedule">
      <formula>NOT(ISERROR(SEARCH("Completed Behind Schedule",G42)))</formula>
    </cfRule>
    <cfRule type="containsText" dxfId="3153" priority="3442" operator="containsText" text="Off Target">
      <formula>NOT(ISERROR(SEARCH("Off Target",G42)))</formula>
    </cfRule>
    <cfRule type="containsText" dxfId="3152" priority="3443" operator="containsText" text="In Danger of Falling Behind Target">
      <formula>NOT(ISERROR(SEARCH("In Danger of Falling Behind Target",G42)))</formula>
    </cfRule>
    <cfRule type="containsText" dxfId="3151" priority="3444" operator="containsText" text="On Track to be Achieved">
      <formula>NOT(ISERROR(SEARCH("On Track to be Achieved",G42)))</formula>
    </cfRule>
    <cfRule type="containsText" dxfId="3150" priority="3445" operator="containsText" text="Fully Achieved">
      <formula>NOT(ISERROR(SEARCH("Fully Achieved",G42)))</formula>
    </cfRule>
    <cfRule type="containsText" dxfId="3149" priority="3446" operator="containsText" text="Update not Provided">
      <formula>NOT(ISERROR(SEARCH("Update not Provided",G42)))</formula>
    </cfRule>
    <cfRule type="containsText" dxfId="3148" priority="3447" operator="containsText" text="Not yet due">
      <formula>NOT(ISERROR(SEARCH("Not yet due",G42)))</formula>
    </cfRule>
    <cfRule type="containsText" dxfId="3147" priority="3448" operator="containsText" text="Completed Behind Schedule">
      <formula>NOT(ISERROR(SEARCH("Completed Behind Schedule",G42)))</formula>
    </cfRule>
    <cfRule type="containsText" dxfId="3146" priority="3449" operator="containsText" text="Off Target">
      <formula>NOT(ISERROR(SEARCH("Off Target",G42)))</formula>
    </cfRule>
    <cfRule type="containsText" dxfId="3145" priority="3450" operator="containsText" text="In Danger of Falling Behind Target">
      <formula>NOT(ISERROR(SEARCH("In Danger of Falling Behind Target",G42)))</formula>
    </cfRule>
    <cfRule type="containsText" dxfId="3144" priority="3451" operator="containsText" text="On Track to be Achieved">
      <formula>NOT(ISERROR(SEARCH("On Track to be Achieved",G42)))</formula>
    </cfRule>
    <cfRule type="containsText" dxfId="3143" priority="3452" operator="containsText" text="Fully Achieved">
      <formula>NOT(ISERROR(SEARCH("Fully Achieved",G42)))</formula>
    </cfRule>
    <cfRule type="containsText" dxfId="3142" priority="3453" operator="containsText" text="Fully Achieved">
      <formula>NOT(ISERROR(SEARCH("Fully Achieved",G42)))</formula>
    </cfRule>
    <cfRule type="containsText" dxfId="3141" priority="3454" operator="containsText" text="Fully Achieved">
      <formula>NOT(ISERROR(SEARCH("Fully Achieved",G42)))</formula>
    </cfRule>
    <cfRule type="containsText" dxfId="3140" priority="3455" operator="containsText" text="Deferred">
      <formula>NOT(ISERROR(SEARCH("Deferred",G42)))</formula>
    </cfRule>
    <cfRule type="containsText" dxfId="3139" priority="3456" operator="containsText" text="Deleted">
      <formula>NOT(ISERROR(SEARCH("Deleted",G42)))</formula>
    </cfRule>
    <cfRule type="containsText" dxfId="3138" priority="3457" operator="containsText" text="In Danger of Falling Behind Target">
      <formula>NOT(ISERROR(SEARCH("In Danger of Falling Behind Target",G42)))</formula>
    </cfRule>
    <cfRule type="containsText" dxfId="3137" priority="3458" operator="containsText" text="Not yet due">
      <formula>NOT(ISERROR(SEARCH("Not yet due",G42)))</formula>
    </cfRule>
    <cfRule type="containsText" dxfId="3136" priority="3459" operator="containsText" text="Update not Provided">
      <formula>NOT(ISERROR(SEARCH("Update not Provided",G42)))</formula>
    </cfRule>
  </conditionalFormatting>
  <conditionalFormatting sqref="G43:G49">
    <cfRule type="containsText" dxfId="3135" priority="3388" operator="containsText" text="On track to be achieved">
      <formula>NOT(ISERROR(SEARCH("On track to be achieved",G43)))</formula>
    </cfRule>
    <cfRule type="containsText" dxfId="3134" priority="3389" operator="containsText" text="Deferred">
      <formula>NOT(ISERROR(SEARCH("Deferred",G43)))</formula>
    </cfRule>
    <cfRule type="containsText" dxfId="3133" priority="3390" operator="containsText" text="Deleted">
      <formula>NOT(ISERROR(SEARCH("Deleted",G43)))</formula>
    </cfRule>
    <cfRule type="containsText" dxfId="3132" priority="3391" operator="containsText" text="In Danger of Falling Behind Target">
      <formula>NOT(ISERROR(SEARCH("In Danger of Falling Behind Target",G43)))</formula>
    </cfRule>
    <cfRule type="containsText" dxfId="3131" priority="3392" operator="containsText" text="Not yet due">
      <formula>NOT(ISERROR(SEARCH("Not yet due",G43)))</formula>
    </cfRule>
    <cfRule type="containsText" dxfId="3130" priority="3393" operator="containsText" text="Update not Provided">
      <formula>NOT(ISERROR(SEARCH("Update not Provided",G43)))</formula>
    </cfRule>
    <cfRule type="containsText" dxfId="3129" priority="3394" operator="containsText" text="Not yet due">
      <formula>NOT(ISERROR(SEARCH("Not yet due",G43)))</formula>
    </cfRule>
    <cfRule type="containsText" dxfId="3128" priority="3395" operator="containsText" text="Completed Behind Schedule">
      <formula>NOT(ISERROR(SEARCH("Completed Behind Schedule",G43)))</formula>
    </cfRule>
    <cfRule type="containsText" dxfId="3127" priority="3396" operator="containsText" text="Off Target">
      <formula>NOT(ISERROR(SEARCH("Off Target",G43)))</formula>
    </cfRule>
    <cfRule type="containsText" dxfId="3126" priority="3397" operator="containsText" text="On Track to be Achieved">
      <formula>NOT(ISERROR(SEARCH("On Track to be Achieved",G43)))</formula>
    </cfRule>
    <cfRule type="containsText" dxfId="3125" priority="3398" operator="containsText" text="Fully Achieved">
      <formula>NOT(ISERROR(SEARCH("Fully Achieved",G43)))</formula>
    </cfRule>
    <cfRule type="containsText" dxfId="3124" priority="3399" operator="containsText" text="Not yet due">
      <formula>NOT(ISERROR(SEARCH("Not yet due",G43)))</formula>
    </cfRule>
    <cfRule type="containsText" dxfId="3123" priority="3400" operator="containsText" text="Not Yet Due">
      <formula>NOT(ISERROR(SEARCH("Not Yet Due",G43)))</formula>
    </cfRule>
    <cfRule type="containsText" dxfId="3122" priority="3401" operator="containsText" text="Deferred">
      <formula>NOT(ISERROR(SEARCH("Deferred",G43)))</formula>
    </cfRule>
    <cfRule type="containsText" dxfId="3121" priority="3402" operator="containsText" text="Deleted">
      <formula>NOT(ISERROR(SEARCH("Deleted",G43)))</formula>
    </cfRule>
    <cfRule type="containsText" dxfId="3120" priority="3403" operator="containsText" text="In Danger of Falling Behind Target">
      <formula>NOT(ISERROR(SEARCH("In Danger of Falling Behind Target",G43)))</formula>
    </cfRule>
    <cfRule type="containsText" dxfId="3119" priority="3404" operator="containsText" text="Not yet due">
      <formula>NOT(ISERROR(SEARCH("Not yet due",G43)))</formula>
    </cfRule>
    <cfRule type="containsText" dxfId="3118" priority="3405" operator="containsText" text="Completed Behind Schedule">
      <formula>NOT(ISERROR(SEARCH("Completed Behind Schedule",G43)))</formula>
    </cfRule>
    <cfRule type="containsText" dxfId="3117" priority="3406" operator="containsText" text="Off Target">
      <formula>NOT(ISERROR(SEARCH("Off Target",G43)))</formula>
    </cfRule>
    <cfRule type="containsText" dxfId="3116" priority="3407" operator="containsText" text="In Danger of Falling Behind Target">
      <formula>NOT(ISERROR(SEARCH("In Danger of Falling Behind Target",G43)))</formula>
    </cfRule>
    <cfRule type="containsText" dxfId="3115" priority="3408" operator="containsText" text="On Track to be Achieved">
      <formula>NOT(ISERROR(SEARCH("On Track to be Achieved",G43)))</formula>
    </cfRule>
    <cfRule type="containsText" dxfId="3114" priority="3409" operator="containsText" text="Fully Achieved">
      <formula>NOT(ISERROR(SEARCH("Fully Achieved",G43)))</formula>
    </cfRule>
    <cfRule type="containsText" dxfId="3113" priority="3410" operator="containsText" text="Update not Provided">
      <formula>NOT(ISERROR(SEARCH("Update not Provided",G43)))</formula>
    </cfRule>
    <cfRule type="containsText" dxfId="3112" priority="3411" operator="containsText" text="Not yet due">
      <formula>NOT(ISERROR(SEARCH("Not yet due",G43)))</formula>
    </cfRule>
    <cfRule type="containsText" dxfId="3111" priority="3412" operator="containsText" text="Completed Behind Schedule">
      <formula>NOT(ISERROR(SEARCH("Completed Behind Schedule",G43)))</formula>
    </cfRule>
    <cfRule type="containsText" dxfId="3110" priority="3413" operator="containsText" text="Off Target">
      <formula>NOT(ISERROR(SEARCH("Off Target",G43)))</formula>
    </cfRule>
    <cfRule type="containsText" dxfId="3109" priority="3414" operator="containsText" text="In Danger of Falling Behind Target">
      <formula>NOT(ISERROR(SEARCH("In Danger of Falling Behind Target",G43)))</formula>
    </cfRule>
    <cfRule type="containsText" dxfId="3108" priority="3415" operator="containsText" text="On Track to be Achieved">
      <formula>NOT(ISERROR(SEARCH("On Track to be Achieved",G43)))</formula>
    </cfRule>
    <cfRule type="containsText" dxfId="3107" priority="3416" operator="containsText" text="Fully Achieved">
      <formula>NOT(ISERROR(SEARCH("Fully Achieved",G43)))</formula>
    </cfRule>
    <cfRule type="containsText" dxfId="3106" priority="3417" operator="containsText" text="Fully Achieved">
      <formula>NOT(ISERROR(SEARCH("Fully Achieved",G43)))</formula>
    </cfRule>
    <cfRule type="containsText" dxfId="3105" priority="3418" operator="containsText" text="Fully Achieved">
      <formula>NOT(ISERROR(SEARCH("Fully Achieved",G43)))</formula>
    </cfRule>
    <cfRule type="containsText" dxfId="3104" priority="3419" operator="containsText" text="Deferred">
      <formula>NOT(ISERROR(SEARCH("Deferred",G43)))</formula>
    </cfRule>
    <cfRule type="containsText" dxfId="3103" priority="3420" operator="containsText" text="Deleted">
      <formula>NOT(ISERROR(SEARCH("Deleted",G43)))</formula>
    </cfRule>
    <cfRule type="containsText" dxfId="3102" priority="3421" operator="containsText" text="In Danger of Falling Behind Target">
      <formula>NOT(ISERROR(SEARCH("In Danger of Falling Behind Target",G43)))</formula>
    </cfRule>
    <cfRule type="containsText" dxfId="3101" priority="3422" operator="containsText" text="Not yet due">
      <formula>NOT(ISERROR(SEARCH("Not yet due",G43)))</formula>
    </cfRule>
    <cfRule type="containsText" dxfId="3100" priority="3423" operator="containsText" text="Update not Provided">
      <formula>NOT(ISERROR(SEARCH("Update not Provided",G43)))</formula>
    </cfRule>
  </conditionalFormatting>
  <conditionalFormatting sqref="G50">
    <cfRule type="containsText" dxfId="3099" priority="3352" operator="containsText" text="On track to be achieved">
      <formula>NOT(ISERROR(SEARCH("On track to be achieved",G50)))</formula>
    </cfRule>
    <cfRule type="containsText" dxfId="3098" priority="3353" operator="containsText" text="Deferred">
      <formula>NOT(ISERROR(SEARCH("Deferred",G50)))</formula>
    </cfRule>
    <cfRule type="containsText" dxfId="3097" priority="3354" operator="containsText" text="Deleted">
      <formula>NOT(ISERROR(SEARCH("Deleted",G50)))</formula>
    </cfRule>
    <cfRule type="containsText" dxfId="3096" priority="3355" operator="containsText" text="In Danger of Falling Behind Target">
      <formula>NOT(ISERROR(SEARCH("In Danger of Falling Behind Target",G50)))</formula>
    </cfRule>
    <cfRule type="containsText" dxfId="3095" priority="3356" operator="containsText" text="Not yet due">
      <formula>NOT(ISERROR(SEARCH("Not yet due",G50)))</formula>
    </cfRule>
    <cfRule type="containsText" dxfId="3094" priority="3357" operator="containsText" text="Update not Provided">
      <formula>NOT(ISERROR(SEARCH("Update not Provided",G50)))</formula>
    </cfRule>
    <cfRule type="containsText" dxfId="3093" priority="3358" operator="containsText" text="Not yet due">
      <formula>NOT(ISERROR(SEARCH("Not yet due",G50)))</formula>
    </cfRule>
    <cfRule type="containsText" dxfId="3092" priority="3359" operator="containsText" text="Completed Behind Schedule">
      <formula>NOT(ISERROR(SEARCH("Completed Behind Schedule",G50)))</formula>
    </cfRule>
    <cfRule type="containsText" dxfId="3091" priority="3360" operator="containsText" text="Off Target">
      <formula>NOT(ISERROR(SEARCH("Off Target",G50)))</formula>
    </cfRule>
    <cfRule type="containsText" dxfId="3090" priority="3361" operator="containsText" text="On Track to be Achieved">
      <formula>NOT(ISERROR(SEARCH("On Track to be Achieved",G50)))</formula>
    </cfRule>
    <cfRule type="containsText" dxfId="3089" priority="3362" operator="containsText" text="Fully Achieved">
      <formula>NOT(ISERROR(SEARCH("Fully Achieved",G50)))</formula>
    </cfRule>
    <cfRule type="containsText" dxfId="3088" priority="3363" operator="containsText" text="Not yet due">
      <formula>NOT(ISERROR(SEARCH("Not yet due",G50)))</formula>
    </cfRule>
    <cfRule type="containsText" dxfId="3087" priority="3364" operator="containsText" text="Not Yet Due">
      <formula>NOT(ISERROR(SEARCH("Not Yet Due",G50)))</formula>
    </cfRule>
    <cfRule type="containsText" dxfId="3086" priority="3365" operator="containsText" text="Deferred">
      <formula>NOT(ISERROR(SEARCH("Deferred",G50)))</formula>
    </cfRule>
    <cfRule type="containsText" dxfId="3085" priority="3366" operator="containsText" text="Deleted">
      <formula>NOT(ISERROR(SEARCH("Deleted",G50)))</formula>
    </cfRule>
    <cfRule type="containsText" dxfId="3084" priority="3367" operator="containsText" text="In Danger of Falling Behind Target">
      <formula>NOT(ISERROR(SEARCH("In Danger of Falling Behind Target",G50)))</formula>
    </cfRule>
    <cfRule type="containsText" dxfId="3083" priority="3368" operator="containsText" text="Not yet due">
      <formula>NOT(ISERROR(SEARCH("Not yet due",G50)))</formula>
    </cfRule>
    <cfRule type="containsText" dxfId="3082" priority="3369" operator="containsText" text="Completed Behind Schedule">
      <formula>NOT(ISERROR(SEARCH("Completed Behind Schedule",G50)))</formula>
    </cfRule>
    <cfRule type="containsText" dxfId="3081" priority="3370" operator="containsText" text="Off Target">
      <formula>NOT(ISERROR(SEARCH("Off Target",G50)))</formula>
    </cfRule>
    <cfRule type="containsText" dxfId="3080" priority="3371" operator="containsText" text="In Danger of Falling Behind Target">
      <formula>NOT(ISERROR(SEARCH("In Danger of Falling Behind Target",G50)))</formula>
    </cfRule>
    <cfRule type="containsText" dxfId="3079" priority="3372" operator="containsText" text="On Track to be Achieved">
      <formula>NOT(ISERROR(SEARCH("On Track to be Achieved",G50)))</formula>
    </cfRule>
    <cfRule type="containsText" dxfId="3078" priority="3373" operator="containsText" text="Fully Achieved">
      <formula>NOT(ISERROR(SEARCH("Fully Achieved",G50)))</formula>
    </cfRule>
    <cfRule type="containsText" dxfId="3077" priority="3374" operator="containsText" text="Update not Provided">
      <formula>NOT(ISERROR(SEARCH("Update not Provided",G50)))</formula>
    </cfRule>
    <cfRule type="containsText" dxfId="3076" priority="3375" operator="containsText" text="Not yet due">
      <formula>NOT(ISERROR(SEARCH("Not yet due",G50)))</formula>
    </cfRule>
    <cfRule type="containsText" dxfId="3075" priority="3376" operator="containsText" text="Completed Behind Schedule">
      <formula>NOT(ISERROR(SEARCH("Completed Behind Schedule",G50)))</formula>
    </cfRule>
    <cfRule type="containsText" dxfId="3074" priority="3377" operator="containsText" text="Off Target">
      <formula>NOT(ISERROR(SEARCH("Off Target",G50)))</formula>
    </cfRule>
    <cfRule type="containsText" dxfId="3073" priority="3378" operator="containsText" text="In Danger of Falling Behind Target">
      <formula>NOT(ISERROR(SEARCH("In Danger of Falling Behind Target",G50)))</formula>
    </cfRule>
    <cfRule type="containsText" dxfId="3072" priority="3379" operator="containsText" text="On Track to be Achieved">
      <formula>NOT(ISERROR(SEARCH("On Track to be Achieved",G50)))</formula>
    </cfRule>
    <cfRule type="containsText" dxfId="3071" priority="3380" operator="containsText" text="Fully Achieved">
      <formula>NOT(ISERROR(SEARCH("Fully Achieved",G50)))</formula>
    </cfRule>
    <cfRule type="containsText" dxfId="3070" priority="3381" operator="containsText" text="Fully Achieved">
      <formula>NOT(ISERROR(SEARCH("Fully Achieved",G50)))</formula>
    </cfRule>
    <cfRule type="containsText" dxfId="3069" priority="3382" operator="containsText" text="Fully Achieved">
      <formula>NOT(ISERROR(SEARCH("Fully Achieved",G50)))</formula>
    </cfRule>
    <cfRule type="containsText" dxfId="3068" priority="3383" operator="containsText" text="Deferred">
      <formula>NOT(ISERROR(SEARCH("Deferred",G50)))</formula>
    </cfRule>
    <cfRule type="containsText" dxfId="3067" priority="3384" operator="containsText" text="Deleted">
      <formula>NOT(ISERROR(SEARCH("Deleted",G50)))</formula>
    </cfRule>
    <cfRule type="containsText" dxfId="3066" priority="3385" operator="containsText" text="In Danger of Falling Behind Target">
      <formula>NOT(ISERROR(SEARCH("In Danger of Falling Behind Target",G50)))</formula>
    </cfRule>
    <cfRule type="containsText" dxfId="3065" priority="3386" operator="containsText" text="Not yet due">
      <formula>NOT(ISERROR(SEARCH("Not yet due",G50)))</formula>
    </cfRule>
    <cfRule type="containsText" dxfId="3064" priority="3387" operator="containsText" text="Update not Provided">
      <formula>NOT(ISERROR(SEARCH("Update not Provided",G50)))</formula>
    </cfRule>
  </conditionalFormatting>
  <conditionalFormatting sqref="G50">
    <cfRule type="containsText" dxfId="3063" priority="3316" operator="containsText" text="On track to be achieved">
      <formula>NOT(ISERROR(SEARCH("On track to be achieved",G50)))</formula>
    </cfRule>
    <cfRule type="containsText" dxfId="3062" priority="3317" operator="containsText" text="Deferred">
      <formula>NOT(ISERROR(SEARCH("Deferred",G50)))</formula>
    </cfRule>
    <cfRule type="containsText" dxfId="3061" priority="3318" operator="containsText" text="Deleted">
      <formula>NOT(ISERROR(SEARCH("Deleted",G50)))</formula>
    </cfRule>
    <cfRule type="containsText" dxfId="3060" priority="3319" operator="containsText" text="In Danger of Falling Behind Target">
      <formula>NOT(ISERROR(SEARCH("In Danger of Falling Behind Target",G50)))</formula>
    </cfRule>
    <cfRule type="containsText" dxfId="3059" priority="3320" operator="containsText" text="Not yet due">
      <formula>NOT(ISERROR(SEARCH("Not yet due",G50)))</formula>
    </cfRule>
    <cfRule type="containsText" dxfId="3058" priority="3321" operator="containsText" text="Update not Provided">
      <formula>NOT(ISERROR(SEARCH("Update not Provided",G50)))</formula>
    </cfRule>
    <cfRule type="containsText" dxfId="3057" priority="3322" operator="containsText" text="Not yet due">
      <formula>NOT(ISERROR(SEARCH("Not yet due",G50)))</formula>
    </cfRule>
    <cfRule type="containsText" dxfId="3056" priority="3323" operator="containsText" text="Completed Behind Schedule">
      <formula>NOT(ISERROR(SEARCH("Completed Behind Schedule",G50)))</formula>
    </cfRule>
    <cfRule type="containsText" dxfId="3055" priority="3324" operator="containsText" text="Off Target">
      <formula>NOT(ISERROR(SEARCH("Off Target",G50)))</formula>
    </cfRule>
    <cfRule type="containsText" dxfId="3054" priority="3325" operator="containsText" text="On Track to be Achieved">
      <formula>NOT(ISERROR(SEARCH("On Track to be Achieved",G50)))</formula>
    </cfRule>
    <cfRule type="containsText" dxfId="3053" priority="3326" operator="containsText" text="Fully Achieved">
      <formula>NOT(ISERROR(SEARCH("Fully Achieved",G50)))</formula>
    </cfRule>
    <cfRule type="containsText" dxfId="3052" priority="3327" operator="containsText" text="Not yet due">
      <formula>NOT(ISERROR(SEARCH("Not yet due",G50)))</formula>
    </cfRule>
    <cfRule type="containsText" dxfId="3051" priority="3328" operator="containsText" text="Not Yet Due">
      <formula>NOT(ISERROR(SEARCH("Not Yet Due",G50)))</formula>
    </cfRule>
    <cfRule type="containsText" dxfId="3050" priority="3329" operator="containsText" text="Deferred">
      <formula>NOT(ISERROR(SEARCH("Deferred",G50)))</formula>
    </cfRule>
    <cfRule type="containsText" dxfId="3049" priority="3330" operator="containsText" text="Deleted">
      <formula>NOT(ISERROR(SEARCH("Deleted",G50)))</formula>
    </cfRule>
    <cfRule type="containsText" dxfId="3048" priority="3331" operator="containsText" text="In Danger of Falling Behind Target">
      <formula>NOT(ISERROR(SEARCH("In Danger of Falling Behind Target",G50)))</formula>
    </cfRule>
    <cfRule type="containsText" dxfId="3047" priority="3332" operator="containsText" text="Not yet due">
      <formula>NOT(ISERROR(SEARCH("Not yet due",G50)))</formula>
    </cfRule>
    <cfRule type="containsText" dxfId="3046" priority="3333" operator="containsText" text="Completed Behind Schedule">
      <formula>NOT(ISERROR(SEARCH("Completed Behind Schedule",G50)))</formula>
    </cfRule>
    <cfRule type="containsText" dxfId="3045" priority="3334" operator="containsText" text="Off Target">
      <formula>NOT(ISERROR(SEARCH("Off Target",G50)))</formula>
    </cfRule>
    <cfRule type="containsText" dxfId="3044" priority="3335" operator="containsText" text="In Danger of Falling Behind Target">
      <formula>NOT(ISERROR(SEARCH("In Danger of Falling Behind Target",G50)))</formula>
    </cfRule>
    <cfRule type="containsText" dxfId="3043" priority="3336" operator="containsText" text="On Track to be Achieved">
      <formula>NOT(ISERROR(SEARCH("On Track to be Achieved",G50)))</formula>
    </cfRule>
    <cfRule type="containsText" dxfId="3042" priority="3337" operator="containsText" text="Fully Achieved">
      <formula>NOT(ISERROR(SEARCH("Fully Achieved",G50)))</formula>
    </cfRule>
    <cfRule type="containsText" dxfId="3041" priority="3338" operator="containsText" text="Update not Provided">
      <formula>NOT(ISERROR(SEARCH("Update not Provided",G50)))</formula>
    </cfRule>
    <cfRule type="containsText" dxfId="3040" priority="3339" operator="containsText" text="Not yet due">
      <formula>NOT(ISERROR(SEARCH("Not yet due",G50)))</formula>
    </cfRule>
    <cfRule type="containsText" dxfId="3039" priority="3340" operator="containsText" text="Completed Behind Schedule">
      <formula>NOT(ISERROR(SEARCH("Completed Behind Schedule",G50)))</formula>
    </cfRule>
    <cfRule type="containsText" dxfId="3038" priority="3341" operator="containsText" text="Off Target">
      <formula>NOT(ISERROR(SEARCH("Off Target",G50)))</formula>
    </cfRule>
    <cfRule type="containsText" dxfId="3037" priority="3342" operator="containsText" text="In Danger of Falling Behind Target">
      <formula>NOT(ISERROR(SEARCH("In Danger of Falling Behind Target",G50)))</formula>
    </cfRule>
    <cfRule type="containsText" dxfId="3036" priority="3343" operator="containsText" text="On Track to be Achieved">
      <formula>NOT(ISERROR(SEARCH("On Track to be Achieved",G50)))</formula>
    </cfRule>
    <cfRule type="containsText" dxfId="3035" priority="3344" operator="containsText" text="Fully Achieved">
      <formula>NOT(ISERROR(SEARCH("Fully Achieved",G50)))</formula>
    </cfRule>
    <cfRule type="containsText" dxfId="3034" priority="3345" operator="containsText" text="Fully Achieved">
      <formula>NOT(ISERROR(SEARCH("Fully Achieved",G50)))</formula>
    </cfRule>
    <cfRule type="containsText" dxfId="3033" priority="3346" operator="containsText" text="Fully Achieved">
      <formula>NOT(ISERROR(SEARCH("Fully Achieved",G50)))</formula>
    </cfRule>
    <cfRule type="containsText" dxfId="3032" priority="3347" operator="containsText" text="Deferred">
      <formula>NOT(ISERROR(SEARCH("Deferred",G50)))</formula>
    </cfRule>
    <cfRule type="containsText" dxfId="3031" priority="3348" operator="containsText" text="Deleted">
      <formula>NOT(ISERROR(SEARCH("Deleted",G50)))</formula>
    </cfRule>
    <cfRule type="containsText" dxfId="3030" priority="3349" operator="containsText" text="In Danger of Falling Behind Target">
      <formula>NOT(ISERROR(SEARCH("In Danger of Falling Behind Target",G50)))</formula>
    </cfRule>
    <cfRule type="containsText" dxfId="3029" priority="3350" operator="containsText" text="Not yet due">
      <formula>NOT(ISERROR(SEARCH("Not yet due",G50)))</formula>
    </cfRule>
    <cfRule type="containsText" dxfId="3028" priority="3351" operator="containsText" text="Update not Provided">
      <formula>NOT(ISERROR(SEARCH("Update not Provided",G50)))</formula>
    </cfRule>
  </conditionalFormatting>
  <conditionalFormatting sqref="G51:G53">
    <cfRule type="containsText" dxfId="3027" priority="3280" operator="containsText" text="On track to be achieved">
      <formula>NOT(ISERROR(SEARCH("On track to be achieved",G51)))</formula>
    </cfRule>
    <cfRule type="containsText" dxfId="3026" priority="3281" operator="containsText" text="Deferred">
      <formula>NOT(ISERROR(SEARCH("Deferred",G51)))</formula>
    </cfRule>
    <cfRule type="containsText" dxfId="3025" priority="3282" operator="containsText" text="Deleted">
      <formula>NOT(ISERROR(SEARCH("Deleted",G51)))</formula>
    </cfRule>
    <cfRule type="containsText" dxfId="3024" priority="3283" operator="containsText" text="In Danger of Falling Behind Target">
      <formula>NOT(ISERROR(SEARCH("In Danger of Falling Behind Target",G51)))</formula>
    </cfRule>
    <cfRule type="containsText" dxfId="3023" priority="3284" operator="containsText" text="Not yet due">
      <formula>NOT(ISERROR(SEARCH("Not yet due",G51)))</formula>
    </cfRule>
    <cfRule type="containsText" dxfId="3022" priority="3285" operator="containsText" text="Update not Provided">
      <formula>NOT(ISERROR(SEARCH("Update not Provided",G51)))</formula>
    </cfRule>
    <cfRule type="containsText" dxfId="3021" priority="3286" operator="containsText" text="Not yet due">
      <formula>NOT(ISERROR(SEARCH("Not yet due",G51)))</formula>
    </cfRule>
    <cfRule type="containsText" dxfId="3020" priority="3287" operator="containsText" text="Completed Behind Schedule">
      <formula>NOT(ISERROR(SEARCH("Completed Behind Schedule",G51)))</formula>
    </cfRule>
    <cfRule type="containsText" dxfId="3019" priority="3288" operator="containsText" text="Off Target">
      <formula>NOT(ISERROR(SEARCH("Off Target",G51)))</formula>
    </cfRule>
    <cfRule type="containsText" dxfId="3018" priority="3289" operator="containsText" text="On Track to be Achieved">
      <formula>NOT(ISERROR(SEARCH("On Track to be Achieved",G51)))</formula>
    </cfRule>
    <cfRule type="containsText" dxfId="3017" priority="3290" operator="containsText" text="Fully Achieved">
      <formula>NOT(ISERROR(SEARCH("Fully Achieved",G51)))</formula>
    </cfRule>
    <cfRule type="containsText" dxfId="3016" priority="3291" operator="containsText" text="Not yet due">
      <formula>NOT(ISERROR(SEARCH("Not yet due",G51)))</formula>
    </cfRule>
    <cfRule type="containsText" dxfId="3015" priority="3292" operator="containsText" text="Not Yet Due">
      <formula>NOT(ISERROR(SEARCH("Not Yet Due",G51)))</formula>
    </cfRule>
    <cfRule type="containsText" dxfId="3014" priority="3293" operator="containsText" text="Deferred">
      <formula>NOT(ISERROR(SEARCH("Deferred",G51)))</formula>
    </cfRule>
    <cfRule type="containsText" dxfId="3013" priority="3294" operator="containsText" text="Deleted">
      <formula>NOT(ISERROR(SEARCH("Deleted",G51)))</formula>
    </cfRule>
    <cfRule type="containsText" dxfId="3012" priority="3295" operator="containsText" text="In Danger of Falling Behind Target">
      <formula>NOT(ISERROR(SEARCH("In Danger of Falling Behind Target",G51)))</formula>
    </cfRule>
    <cfRule type="containsText" dxfId="3011" priority="3296" operator="containsText" text="Not yet due">
      <formula>NOT(ISERROR(SEARCH("Not yet due",G51)))</formula>
    </cfRule>
    <cfRule type="containsText" dxfId="3010" priority="3297" operator="containsText" text="Completed Behind Schedule">
      <formula>NOT(ISERROR(SEARCH("Completed Behind Schedule",G51)))</formula>
    </cfRule>
    <cfRule type="containsText" dxfId="3009" priority="3298" operator="containsText" text="Off Target">
      <formula>NOT(ISERROR(SEARCH("Off Target",G51)))</formula>
    </cfRule>
    <cfRule type="containsText" dxfId="3008" priority="3299" operator="containsText" text="In Danger of Falling Behind Target">
      <formula>NOT(ISERROR(SEARCH("In Danger of Falling Behind Target",G51)))</formula>
    </cfRule>
    <cfRule type="containsText" dxfId="3007" priority="3300" operator="containsText" text="On Track to be Achieved">
      <formula>NOT(ISERROR(SEARCH("On Track to be Achieved",G51)))</formula>
    </cfRule>
    <cfRule type="containsText" dxfId="3006" priority="3301" operator="containsText" text="Fully Achieved">
      <formula>NOT(ISERROR(SEARCH("Fully Achieved",G51)))</formula>
    </cfRule>
    <cfRule type="containsText" dxfId="3005" priority="3302" operator="containsText" text="Update not Provided">
      <formula>NOT(ISERROR(SEARCH("Update not Provided",G51)))</formula>
    </cfRule>
    <cfRule type="containsText" dxfId="3004" priority="3303" operator="containsText" text="Not yet due">
      <formula>NOT(ISERROR(SEARCH("Not yet due",G51)))</formula>
    </cfRule>
    <cfRule type="containsText" dxfId="3003" priority="3304" operator="containsText" text="Completed Behind Schedule">
      <formula>NOT(ISERROR(SEARCH("Completed Behind Schedule",G51)))</formula>
    </cfRule>
    <cfRule type="containsText" dxfId="3002" priority="3305" operator="containsText" text="Off Target">
      <formula>NOT(ISERROR(SEARCH("Off Target",G51)))</formula>
    </cfRule>
    <cfRule type="containsText" dxfId="3001" priority="3306" operator="containsText" text="In Danger of Falling Behind Target">
      <formula>NOT(ISERROR(SEARCH("In Danger of Falling Behind Target",G51)))</formula>
    </cfRule>
    <cfRule type="containsText" dxfId="3000" priority="3307" operator="containsText" text="On Track to be Achieved">
      <formula>NOT(ISERROR(SEARCH("On Track to be Achieved",G51)))</formula>
    </cfRule>
    <cfRule type="containsText" dxfId="2999" priority="3308" operator="containsText" text="Fully Achieved">
      <formula>NOT(ISERROR(SEARCH("Fully Achieved",G51)))</formula>
    </cfRule>
    <cfRule type="containsText" dxfId="2998" priority="3309" operator="containsText" text="Fully Achieved">
      <formula>NOT(ISERROR(SEARCH("Fully Achieved",G51)))</formula>
    </cfRule>
    <cfRule type="containsText" dxfId="2997" priority="3310" operator="containsText" text="Fully Achieved">
      <formula>NOT(ISERROR(SEARCH("Fully Achieved",G51)))</formula>
    </cfRule>
    <cfRule type="containsText" dxfId="2996" priority="3311" operator="containsText" text="Deferred">
      <formula>NOT(ISERROR(SEARCH("Deferred",G51)))</formula>
    </cfRule>
    <cfRule type="containsText" dxfId="2995" priority="3312" operator="containsText" text="Deleted">
      <formula>NOT(ISERROR(SEARCH("Deleted",G51)))</formula>
    </cfRule>
    <cfRule type="containsText" dxfId="2994" priority="3313" operator="containsText" text="In Danger of Falling Behind Target">
      <formula>NOT(ISERROR(SEARCH("In Danger of Falling Behind Target",G51)))</formula>
    </cfRule>
    <cfRule type="containsText" dxfId="2993" priority="3314" operator="containsText" text="Not yet due">
      <formula>NOT(ISERROR(SEARCH("Not yet due",G51)))</formula>
    </cfRule>
    <cfRule type="containsText" dxfId="2992" priority="3315" operator="containsText" text="Update not Provided">
      <formula>NOT(ISERROR(SEARCH("Update not Provided",G51)))</formula>
    </cfRule>
  </conditionalFormatting>
  <conditionalFormatting sqref="G54">
    <cfRule type="containsText" dxfId="2991" priority="3244" operator="containsText" text="On track to be achieved">
      <formula>NOT(ISERROR(SEARCH("On track to be achieved",G54)))</formula>
    </cfRule>
    <cfRule type="containsText" dxfId="2990" priority="3245" operator="containsText" text="Deferred">
      <formula>NOT(ISERROR(SEARCH("Deferred",G54)))</formula>
    </cfRule>
    <cfRule type="containsText" dxfId="2989" priority="3246" operator="containsText" text="Deleted">
      <formula>NOT(ISERROR(SEARCH("Deleted",G54)))</formula>
    </cfRule>
    <cfRule type="containsText" dxfId="2988" priority="3247" operator="containsText" text="In Danger of Falling Behind Target">
      <formula>NOT(ISERROR(SEARCH("In Danger of Falling Behind Target",G54)))</formula>
    </cfRule>
    <cfRule type="containsText" dxfId="2987" priority="3248" operator="containsText" text="Not yet due">
      <formula>NOT(ISERROR(SEARCH("Not yet due",G54)))</formula>
    </cfRule>
    <cfRule type="containsText" dxfId="2986" priority="3249" operator="containsText" text="Update not Provided">
      <formula>NOT(ISERROR(SEARCH("Update not Provided",G54)))</formula>
    </cfRule>
    <cfRule type="containsText" dxfId="2985" priority="3250" operator="containsText" text="Not yet due">
      <formula>NOT(ISERROR(SEARCH("Not yet due",G54)))</formula>
    </cfRule>
    <cfRule type="containsText" dxfId="2984" priority="3251" operator="containsText" text="Completed Behind Schedule">
      <formula>NOT(ISERROR(SEARCH("Completed Behind Schedule",G54)))</formula>
    </cfRule>
    <cfRule type="containsText" dxfId="2983" priority="3252" operator="containsText" text="Off Target">
      <formula>NOT(ISERROR(SEARCH("Off Target",G54)))</formula>
    </cfRule>
    <cfRule type="containsText" dxfId="2982" priority="3253" operator="containsText" text="On Track to be Achieved">
      <formula>NOT(ISERROR(SEARCH("On Track to be Achieved",G54)))</formula>
    </cfRule>
    <cfRule type="containsText" dxfId="2981" priority="3254" operator="containsText" text="Fully Achieved">
      <formula>NOT(ISERROR(SEARCH("Fully Achieved",G54)))</formula>
    </cfRule>
    <cfRule type="containsText" dxfId="2980" priority="3255" operator="containsText" text="Not yet due">
      <formula>NOT(ISERROR(SEARCH("Not yet due",G54)))</formula>
    </cfRule>
    <cfRule type="containsText" dxfId="2979" priority="3256" operator="containsText" text="Not Yet Due">
      <formula>NOT(ISERROR(SEARCH("Not Yet Due",G54)))</formula>
    </cfRule>
    <cfRule type="containsText" dxfId="2978" priority="3257" operator="containsText" text="Deferred">
      <formula>NOT(ISERROR(SEARCH("Deferred",G54)))</formula>
    </cfRule>
    <cfRule type="containsText" dxfId="2977" priority="3258" operator="containsText" text="Deleted">
      <formula>NOT(ISERROR(SEARCH("Deleted",G54)))</formula>
    </cfRule>
    <cfRule type="containsText" dxfId="2976" priority="3259" operator="containsText" text="In Danger of Falling Behind Target">
      <formula>NOT(ISERROR(SEARCH("In Danger of Falling Behind Target",G54)))</formula>
    </cfRule>
    <cfRule type="containsText" dxfId="2975" priority="3260" operator="containsText" text="Not yet due">
      <formula>NOT(ISERROR(SEARCH("Not yet due",G54)))</formula>
    </cfRule>
    <cfRule type="containsText" dxfId="2974" priority="3261" operator="containsText" text="Completed Behind Schedule">
      <formula>NOT(ISERROR(SEARCH("Completed Behind Schedule",G54)))</formula>
    </cfRule>
    <cfRule type="containsText" dxfId="2973" priority="3262" operator="containsText" text="Off Target">
      <formula>NOT(ISERROR(SEARCH("Off Target",G54)))</formula>
    </cfRule>
    <cfRule type="containsText" dxfId="2972" priority="3263" operator="containsText" text="In Danger of Falling Behind Target">
      <formula>NOT(ISERROR(SEARCH("In Danger of Falling Behind Target",G54)))</formula>
    </cfRule>
    <cfRule type="containsText" dxfId="2971" priority="3264" operator="containsText" text="On Track to be Achieved">
      <formula>NOT(ISERROR(SEARCH("On Track to be Achieved",G54)))</formula>
    </cfRule>
    <cfRule type="containsText" dxfId="2970" priority="3265" operator="containsText" text="Fully Achieved">
      <formula>NOT(ISERROR(SEARCH("Fully Achieved",G54)))</formula>
    </cfRule>
    <cfRule type="containsText" dxfId="2969" priority="3266" operator="containsText" text="Update not Provided">
      <formula>NOT(ISERROR(SEARCH("Update not Provided",G54)))</formula>
    </cfRule>
    <cfRule type="containsText" dxfId="2968" priority="3267" operator="containsText" text="Not yet due">
      <formula>NOT(ISERROR(SEARCH("Not yet due",G54)))</formula>
    </cfRule>
    <cfRule type="containsText" dxfId="2967" priority="3268" operator="containsText" text="Completed Behind Schedule">
      <formula>NOT(ISERROR(SEARCH("Completed Behind Schedule",G54)))</formula>
    </cfRule>
    <cfRule type="containsText" dxfId="2966" priority="3269" operator="containsText" text="Off Target">
      <formula>NOT(ISERROR(SEARCH("Off Target",G54)))</formula>
    </cfRule>
    <cfRule type="containsText" dxfId="2965" priority="3270" operator="containsText" text="In Danger of Falling Behind Target">
      <formula>NOT(ISERROR(SEARCH("In Danger of Falling Behind Target",G54)))</formula>
    </cfRule>
    <cfRule type="containsText" dxfId="2964" priority="3271" operator="containsText" text="On Track to be Achieved">
      <formula>NOT(ISERROR(SEARCH("On Track to be Achieved",G54)))</formula>
    </cfRule>
    <cfRule type="containsText" dxfId="2963" priority="3272" operator="containsText" text="Fully Achieved">
      <formula>NOT(ISERROR(SEARCH("Fully Achieved",G54)))</formula>
    </cfRule>
    <cfRule type="containsText" dxfId="2962" priority="3273" operator="containsText" text="Fully Achieved">
      <formula>NOT(ISERROR(SEARCH("Fully Achieved",G54)))</formula>
    </cfRule>
    <cfRule type="containsText" dxfId="2961" priority="3274" operator="containsText" text="Fully Achieved">
      <formula>NOT(ISERROR(SEARCH("Fully Achieved",G54)))</formula>
    </cfRule>
    <cfRule type="containsText" dxfId="2960" priority="3275" operator="containsText" text="Deferred">
      <formula>NOT(ISERROR(SEARCH("Deferred",G54)))</formula>
    </cfRule>
    <cfRule type="containsText" dxfId="2959" priority="3276" operator="containsText" text="Deleted">
      <formula>NOT(ISERROR(SEARCH("Deleted",G54)))</formula>
    </cfRule>
    <cfRule type="containsText" dxfId="2958" priority="3277" operator="containsText" text="In Danger of Falling Behind Target">
      <formula>NOT(ISERROR(SEARCH("In Danger of Falling Behind Target",G54)))</formula>
    </cfRule>
    <cfRule type="containsText" dxfId="2957" priority="3278" operator="containsText" text="Not yet due">
      <formula>NOT(ISERROR(SEARCH("Not yet due",G54)))</formula>
    </cfRule>
    <cfRule type="containsText" dxfId="2956" priority="3279" operator="containsText" text="Update not Provided">
      <formula>NOT(ISERROR(SEARCH("Update not Provided",G54)))</formula>
    </cfRule>
  </conditionalFormatting>
  <conditionalFormatting sqref="G54">
    <cfRule type="containsText" dxfId="2955" priority="3208" operator="containsText" text="On track to be achieved">
      <formula>NOT(ISERROR(SEARCH("On track to be achieved",G54)))</formula>
    </cfRule>
    <cfRule type="containsText" dxfId="2954" priority="3209" operator="containsText" text="Deferred">
      <formula>NOT(ISERROR(SEARCH("Deferred",G54)))</formula>
    </cfRule>
    <cfRule type="containsText" dxfId="2953" priority="3210" operator="containsText" text="Deleted">
      <formula>NOT(ISERROR(SEARCH("Deleted",G54)))</formula>
    </cfRule>
    <cfRule type="containsText" dxfId="2952" priority="3211" operator="containsText" text="In Danger of Falling Behind Target">
      <formula>NOT(ISERROR(SEARCH("In Danger of Falling Behind Target",G54)))</formula>
    </cfRule>
    <cfRule type="containsText" dxfId="2951" priority="3212" operator="containsText" text="Not yet due">
      <formula>NOT(ISERROR(SEARCH("Not yet due",G54)))</formula>
    </cfRule>
    <cfRule type="containsText" dxfId="2950" priority="3213" operator="containsText" text="Update not Provided">
      <formula>NOT(ISERROR(SEARCH("Update not Provided",G54)))</formula>
    </cfRule>
    <cfRule type="containsText" dxfId="2949" priority="3214" operator="containsText" text="Not yet due">
      <formula>NOT(ISERROR(SEARCH("Not yet due",G54)))</formula>
    </cfRule>
    <cfRule type="containsText" dxfId="2948" priority="3215" operator="containsText" text="Completed Behind Schedule">
      <formula>NOT(ISERROR(SEARCH("Completed Behind Schedule",G54)))</formula>
    </cfRule>
    <cfRule type="containsText" dxfId="2947" priority="3216" operator="containsText" text="Off Target">
      <formula>NOT(ISERROR(SEARCH("Off Target",G54)))</formula>
    </cfRule>
    <cfRule type="containsText" dxfId="2946" priority="3217" operator="containsText" text="On Track to be Achieved">
      <formula>NOT(ISERROR(SEARCH("On Track to be Achieved",G54)))</formula>
    </cfRule>
    <cfRule type="containsText" dxfId="2945" priority="3218" operator="containsText" text="Fully Achieved">
      <formula>NOT(ISERROR(SEARCH("Fully Achieved",G54)))</formula>
    </cfRule>
    <cfRule type="containsText" dxfId="2944" priority="3219" operator="containsText" text="Not yet due">
      <formula>NOT(ISERROR(SEARCH("Not yet due",G54)))</formula>
    </cfRule>
    <cfRule type="containsText" dxfId="2943" priority="3220" operator="containsText" text="Not Yet Due">
      <formula>NOT(ISERROR(SEARCH("Not Yet Due",G54)))</formula>
    </cfRule>
    <cfRule type="containsText" dxfId="2942" priority="3221" operator="containsText" text="Deferred">
      <formula>NOT(ISERROR(SEARCH("Deferred",G54)))</formula>
    </cfRule>
    <cfRule type="containsText" dxfId="2941" priority="3222" operator="containsText" text="Deleted">
      <formula>NOT(ISERROR(SEARCH("Deleted",G54)))</formula>
    </cfRule>
    <cfRule type="containsText" dxfId="2940" priority="3223" operator="containsText" text="In Danger of Falling Behind Target">
      <formula>NOT(ISERROR(SEARCH("In Danger of Falling Behind Target",G54)))</formula>
    </cfRule>
    <cfRule type="containsText" dxfId="2939" priority="3224" operator="containsText" text="Not yet due">
      <formula>NOT(ISERROR(SEARCH("Not yet due",G54)))</formula>
    </cfRule>
    <cfRule type="containsText" dxfId="2938" priority="3225" operator="containsText" text="Completed Behind Schedule">
      <formula>NOT(ISERROR(SEARCH("Completed Behind Schedule",G54)))</formula>
    </cfRule>
    <cfRule type="containsText" dxfId="2937" priority="3226" operator="containsText" text="Off Target">
      <formula>NOT(ISERROR(SEARCH("Off Target",G54)))</formula>
    </cfRule>
    <cfRule type="containsText" dxfId="2936" priority="3227" operator="containsText" text="In Danger of Falling Behind Target">
      <formula>NOT(ISERROR(SEARCH("In Danger of Falling Behind Target",G54)))</formula>
    </cfRule>
    <cfRule type="containsText" dxfId="2935" priority="3228" operator="containsText" text="On Track to be Achieved">
      <formula>NOT(ISERROR(SEARCH("On Track to be Achieved",G54)))</formula>
    </cfRule>
    <cfRule type="containsText" dxfId="2934" priority="3229" operator="containsText" text="Fully Achieved">
      <formula>NOT(ISERROR(SEARCH("Fully Achieved",G54)))</formula>
    </cfRule>
    <cfRule type="containsText" dxfId="2933" priority="3230" operator="containsText" text="Update not Provided">
      <formula>NOT(ISERROR(SEARCH("Update not Provided",G54)))</formula>
    </cfRule>
    <cfRule type="containsText" dxfId="2932" priority="3231" operator="containsText" text="Not yet due">
      <formula>NOT(ISERROR(SEARCH("Not yet due",G54)))</formula>
    </cfRule>
    <cfRule type="containsText" dxfId="2931" priority="3232" operator="containsText" text="Completed Behind Schedule">
      <formula>NOT(ISERROR(SEARCH("Completed Behind Schedule",G54)))</formula>
    </cfRule>
    <cfRule type="containsText" dxfId="2930" priority="3233" operator="containsText" text="Off Target">
      <formula>NOT(ISERROR(SEARCH("Off Target",G54)))</formula>
    </cfRule>
    <cfRule type="containsText" dxfId="2929" priority="3234" operator="containsText" text="In Danger of Falling Behind Target">
      <formula>NOT(ISERROR(SEARCH("In Danger of Falling Behind Target",G54)))</formula>
    </cfRule>
    <cfRule type="containsText" dxfId="2928" priority="3235" operator="containsText" text="On Track to be Achieved">
      <formula>NOT(ISERROR(SEARCH("On Track to be Achieved",G54)))</formula>
    </cfRule>
    <cfRule type="containsText" dxfId="2927" priority="3236" operator="containsText" text="Fully Achieved">
      <formula>NOT(ISERROR(SEARCH("Fully Achieved",G54)))</formula>
    </cfRule>
    <cfRule type="containsText" dxfId="2926" priority="3237" operator="containsText" text="Fully Achieved">
      <formula>NOT(ISERROR(SEARCH("Fully Achieved",G54)))</formula>
    </cfRule>
    <cfRule type="containsText" dxfId="2925" priority="3238" operator="containsText" text="Fully Achieved">
      <formula>NOT(ISERROR(SEARCH("Fully Achieved",G54)))</formula>
    </cfRule>
    <cfRule type="containsText" dxfId="2924" priority="3239" operator="containsText" text="Deferred">
      <formula>NOT(ISERROR(SEARCH("Deferred",G54)))</formula>
    </cfRule>
    <cfRule type="containsText" dxfId="2923" priority="3240" operator="containsText" text="Deleted">
      <formula>NOT(ISERROR(SEARCH("Deleted",G54)))</formula>
    </cfRule>
    <cfRule type="containsText" dxfId="2922" priority="3241" operator="containsText" text="In Danger of Falling Behind Target">
      <formula>NOT(ISERROR(SEARCH("In Danger of Falling Behind Target",G54)))</formula>
    </cfRule>
    <cfRule type="containsText" dxfId="2921" priority="3242" operator="containsText" text="Not yet due">
      <formula>NOT(ISERROR(SEARCH("Not yet due",G54)))</formula>
    </cfRule>
    <cfRule type="containsText" dxfId="2920" priority="3243" operator="containsText" text="Update not Provided">
      <formula>NOT(ISERROR(SEARCH("Update not Provided",G54)))</formula>
    </cfRule>
  </conditionalFormatting>
  <conditionalFormatting sqref="G55:G60">
    <cfRule type="containsText" dxfId="2919" priority="3172" operator="containsText" text="On track to be achieved">
      <formula>NOT(ISERROR(SEARCH("On track to be achieved",G55)))</formula>
    </cfRule>
    <cfRule type="containsText" dxfId="2918" priority="3173" operator="containsText" text="Deferred">
      <formula>NOT(ISERROR(SEARCH("Deferred",G55)))</formula>
    </cfRule>
    <cfRule type="containsText" dxfId="2917" priority="3174" operator="containsText" text="Deleted">
      <formula>NOT(ISERROR(SEARCH("Deleted",G55)))</formula>
    </cfRule>
    <cfRule type="containsText" dxfId="2916" priority="3175" operator="containsText" text="In Danger of Falling Behind Target">
      <formula>NOT(ISERROR(SEARCH("In Danger of Falling Behind Target",G55)))</formula>
    </cfRule>
    <cfRule type="containsText" dxfId="2915" priority="3176" operator="containsText" text="Not yet due">
      <formula>NOT(ISERROR(SEARCH("Not yet due",G55)))</formula>
    </cfRule>
    <cfRule type="containsText" dxfId="2914" priority="3177" operator="containsText" text="Update not Provided">
      <formula>NOT(ISERROR(SEARCH("Update not Provided",G55)))</formula>
    </cfRule>
    <cfRule type="containsText" dxfId="2913" priority="3178" operator="containsText" text="Not yet due">
      <formula>NOT(ISERROR(SEARCH("Not yet due",G55)))</formula>
    </cfRule>
    <cfRule type="containsText" dxfId="2912" priority="3179" operator="containsText" text="Completed Behind Schedule">
      <formula>NOT(ISERROR(SEARCH("Completed Behind Schedule",G55)))</formula>
    </cfRule>
    <cfRule type="containsText" dxfId="2911" priority="3180" operator="containsText" text="Off Target">
      <formula>NOT(ISERROR(SEARCH("Off Target",G55)))</formula>
    </cfRule>
    <cfRule type="containsText" dxfId="2910" priority="3181" operator="containsText" text="On Track to be Achieved">
      <formula>NOT(ISERROR(SEARCH("On Track to be Achieved",G55)))</formula>
    </cfRule>
    <cfRule type="containsText" dxfId="2909" priority="3182" operator="containsText" text="Fully Achieved">
      <formula>NOT(ISERROR(SEARCH("Fully Achieved",G55)))</formula>
    </cfRule>
    <cfRule type="containsText" dxfId="2908" priority="3183" operator="containsText" text="Not yet due">
      <formula>NOT(ISERROR(SEARCH("Not yet due",G55)))</formula>
    </cfRule>
    <cfRule type="containsText" dxfId="2907" priority="3184" operator="containsText" text="Not Yet Due">
      <formula>NOT(ISERROR(SEARCH("Not Yet Due",G55)))</formula>
    </cfRule>
    <cfRule type="containsText" dxfId="2906" priority="3185" operator="containsText" text="Deferred">
      <formula>NOT(ISERROR(SEARCH("Deferred",G55)))</formula>
    </cfRule>
    <cfRule type="containsText" dxfId="2905" priority="3186" operator="containsText" text="Deleted">
      <formula>NOT(ISERROR(SEARCH("Deleted",G55)))</formula>
    </cfRule>
    <cfRule type="containsText" dxfId="2904" priority="3187" operator="containsText" text="In Danger of Falling Behind Target">
      <formula>NOT(ISERROR(SEARCH("In Danger of Falling Behind Target",G55)))</formula>
    </cfRule>
    <cfRule type="containsText" dxfId="2903" priority="3188" operator="containsText" text="Not yet due">
      <formula>NOT(ISERROR(SEARCH("Not yet due",G55)))</formula>
    </cfRule>
    <cfRule type="containsText" dxfId="2902" priority="3189" operator="containsText" text="Completed Behind Schedule">
      <formula>NOT(ISERROR(SEARCH("Completed Behind Schedule",G55)))</formula>
    </cfRule>
    <cfRule type="containsText" dxfId="2901" priority="3190" operator="containsText" text="Off Target">
      <formula>NOT(ISERROR(SEARCH("Off Target",G55)))</formula>
    </cfRule>
    <cfRule type="containsText" dxfId="2900" priority="3191" operator="containsText" text="In Danger of Falling Behind Target">
      <formula>NOT(ISERROR(SEARCH("In Danger of Falling Behind Target",G55)))</formula>
    </cfRule>
    <cfRule type="containsText" dxfId="2899" priority="3192" operator="containsText" text="On Track to be Achieved">
      <formula>NOT(ISERROR(SEARCH("On Track to be Achieved",G55)))</formula>
    </cfRule>
    <cfRule type="containsText" dxfId="2898" priority="3193" operator="containsText" text="Fully Achieved">
      <formula>NOT(ISERROR(SEARCH("Fully Achieved",G55)))</formula>
    </cfRule>
    <cfRule type="containsText" dxfId="2897" priority="3194" operator="containsText" text="Update not Provided">
      <formula>NOT(ISERROR(SEARCH("Update not Provided",G55)))</formula>
    </cfRule>
    <cfRule type="containsText" dxfId="2896" priority="3195" operator="containsText" text="Not yet due">
      <formula>NOT(ISERROR(SEARCH("Not yet due",G55)))</formula>
    </cfRule>
    <cfRule type="containsText" dxfId="2895" priority="3196" operator="containsText" text="Completed Behind Schedule">
      <formula>NOT(ISERROR(SEARCH("Completed Behind Schedule",G55)))</formula>
    </cfRule>
    <cfRule type="containsText" dxfId="2894" priority="3197" operator="containsText" text="Off Target">
      <formula>NOT(ISERROR(SEARCH("Off Target",G55)))</formula>
    </cfRule>
    <cfRule type="containsText" dxfId="2893" priority="3198" operator="containsText" text="In Danger of Falling Behind Target">
      <formula>NOT(ISERROR(SEARCH("In Danger of Falling Behind Target",G55)))</formula>
    </cfRule>
    <cfRule type="containsText" dxfId="2892" priority="3199" operator="containsText" text="On Track to be Achieved">
      <formula>NOT(ISERROR(SEARCH("On Track to be Achieved",G55)))</formula>
    </cfRule>
    <cfRule type="containsText" dxfId="2891" priority="3200" operator="containsText" text="Fully Achieved">
      <formula>NOT(ISERROR(SEARCH("Fully Achieved",G55)))</formula>
    </cfRule>
    <cfRule type="containsText" dxfId="2890" priority="3201" operator="containsText" text="Fully Achieved">
      <formula>NOT(ISERROR(SEARCH("Fully Achieved",G55)))</formula>
    </cfRule>
    <cfRule type="containsText" dxfId="2889" priority="3202" operator="containsText" text="Fully Achieved">
      <formula>NOT(ISERROR(SEARCH("Fully Achieved",G55)))</formula>
    </cfRule>
    <cfRule type="containsText" dxfId="2888" priority="3203" operator="containsText" text="Deferred">
      <formula>NOT(ISERROR(SEARCH("Deferred",G55)))</formula>
    </cfRule>
    <cfRule type="containsText" dxfId="2887" priority="3204" operator="containsText" text="Deleted">
      <formula>NOT(ISERROR(SEARCH("Deleted",G55)))</formula>
    </cfRule>
    <cfRule type="containsText" dxfId="2886" priority="3205" operator="containsText" text="In Danger of Falling Behind Target">
      <formula>NOT(ISERROR(SEARCH("In Danger of Falling Behind Target",G55)))</formula>
    </cfRule>
    <cfRule type="containsText" dxfId="2885" priority="3206" operator="containsText" text="Not yet due">
      <formula>NOT(ISERROR(SEARCH("Not yet due",G55)))</formula>
    </cfRule>
    <cfRule type="containsText" dxfId="2884" priority="3207" operator="containsText" text="Update not Provided">
      <formula>NOT(ISERROR(SEARCH("Update not Provided",G55)))</formula>
    </cfRule>
  </conditionalFormatting>
  <conditionalFormatting sqref="G62:G68">
    <cfRule type="containsText" dxfId="2883" priority="3136" operator="containsText" text="On track to be achieved">
      <formula>NOT(ISERROR(SEARCH("On track to be achieved",G62)))</formula>
    </cfRule>
    <cfRule type="containsText" dxfId="2882" priority="3137" operator="containsText" text="Deferred">
      <formula>NOT(ISERROR(SEARCH("Deferred",G62)))</formula>
    </cfRule>
    <cfRule type="containsText" dxfId="2881" priority="3138" operator="containsText" text="Deleted">
      <formula>NOT(ISERROR(SEARCH("Deleted",G62)))</formula>
    </cfRule>
    <cfRule type="containsText" dxfId="2880" priority="3139" operator="containsText" text="In Danger of Falling Behind Target">
      <formula>NOT(ISERROR(SEARCH("In Danger of Falling Behind Target",G62)))</formula>
    </cfRule>
    <cfRule type="containsText" dxfId="2879" priority="3140" operator="containsText" text="Not yet due">
      <formula>NOT(ISERROR(SEARCH("Not yet due",G62)))</formula>
    </cfRule>
    <cfRule type="containsText" dxfId="2878" priority="3141" operator="containsText" text="Update not Provided">
      <formula>NOT(ISERROR(SEARCH("Update not Provided",G62)))</formula>
    </cfRule>
    <cfRule type="containsText" dxfId="2877" priority="3142" operator="containsText" text="Not yet due">
      <formula>NOT(ISERROR(SEARCH("Not yet due",G62)))</formula>
    </cfRule>
    <cfRule type="containsText" dxfId="2876" priority="3143" operator="containsText" text="Completed Behind Schedule">
      <formula>NOT(ISERROR(SEARCH("Completed Behind Schedule",G62)))</formula>
    </cfRule>
    <cfRule type="containsText" dxfId="2875" priority="3144" operator="containsText" text="Off Target">
      <formula>NOT(ISERROR(SEARCH("Off Target",G62)))</formula>
    </cfRule>
    <cfRule type="containsText" dxfId="2874" priority="3145" operator="containsText" text="On Track to be Achieved">
      <formula>NOT(ISERROR(SEARCH("On Track to be Achieved",G62)))</formula>
    </cfRule>
    <cfRule type="containsText" dxfId="2873" priority="3146" operator="containsText" text="Fully Achieved">
      <formula>NOT(ISERROR(SEARCH("Fully Achieved",G62)))</formula>
    </cfRule>
    <cfRule type="containsText" dxfId="2872" priority="3147" operator="containsText" text="Not yet due">
      <formula>NOT(ISERROR(SEARCH("Not yet due",G62)))</formula>
    </cfRule>
    <cfRule type="containsText" dxfId="2871" priority="3148" operator="containsText" text="Not Yet Due">
      <formula>NOT(ISERROR(SEARCH("Not Yet Due",G62)))</formula>
    </cfRule>
    <cfRule type="containsText" dxfId="2870" priority="3149" operator="containsText" text="Deferred">
      <formula>NOT(ISERROR(SEARCH("Deferred",G62)))</formula>
    </cfRule>
    <cfRule type="containsText" dxfId="2869" priority="3150" operator="containsText" text="Deleted">
      <formula>NOT(ISERROR(SEARCH("Deleted",G62)))</formula>
    </cfRule>
    <cfRule type="containsText" dxfId="2868" priority="3151" operator="containsText" text="In Danger of Falling Behind Target">
      <formula>NOT(ISERROR(SEARCH("In Danger of Falling Behind Target",G62)))</formula>
    </cfRule>
    <cfRule type="containsText" dxfId="2867" priority="3152" operator="containsText" text="Not yet due">
      <formula>NOT(ISERROR(SEARCH("Not yet due",G62)))</formula>
    </cfRule>
    <cfRule type="containsText" dxfId="2866" priority="3153" operator="containsText" text="Completed Behind Schedule">
      <formula>NOT(ISERROR(SEARCH("Completed Behind Schedule",G62)))</formula>
    </cfRule>
    <cfRule type="containsText" dxfId="2865" priority="3154" operator="containsText" text="Off Target">
      <formula>NOT(ISERROR(SEARCH("Off Target",G62)))</formula>
    </cfRule>
    <cfRule type="containsText" dxfId="2864" priority="3155" operator="containsText" text="In Danger of Falling Behind Target">
      <formula>NOT(ISERROR(SEARCH("In Danger of Falling Behind Target",G62)))</formula>
    </cfRule>
    <cfRule type="containsText" dxfId="2863" priority="3156" operator="containsText" text="On Track to be Achieved">
      <formula>NOT(ISERROR(SEARCH("On Track to be Achieved",G62)))</formula>
    </cfRule>
    <cfRule type="containsText" dxfId="2862" priority="3157" operator="containsText" text="Fully Achieved">
      <formula>NOT(ISERROR(SEARCH("Fully Achieved",G62)))</formula>
    </cfRule>
    <cfRule type="containsText" dxfId="2861" priority="3158" operator="containsText" text="Update not Provided">
      <formula>NOT(ISERROR(SEARCH("Update not Provided",G62)))</formula>
    </cfRule>
    <cfRule type="containsText" dxfId="2860" priority="3159" operator="containsText" text="Not yet due">
      <formula>NOT(ISERROR(SEARCH("Not yet due",G62)))</formula>
    </cfRule>
    <cfRule type="containsText" dxfId="2859" priority="3160" operator="containsText" text="Completed Behind Schedule">
      <formula>NOT(ISERROR(SEARCH("Completed Behind Schedule",G62)))</formula>
    </cfRule>
    <cfRule type="containsText" dxfId="2858" priority="3161" operator="containsText" text="Off Target">
      <formula>NOT(ISERROR(SEARCH("Off Target",G62)))</formula>
    </cfRule>
    <cfRule type="containsText" dxfId="2857" priority="3162" operator="containsText" text="In Danger of Falling Behind Target">
      <formula>NOT(ISERROR(SEARCH("In Danger of Falling Behind Target",G62)))</formula>
    </cfRule>
    <cfRule type="containsText" dxfId="2856" priority="3163" operator="containsText" text="On Track to be Achieved">
      <formula>NOT(ISERROR(SEARCH("On Track to be Achieved",G62)))</formula>
    </cfRule>
    <cfRule type="containsText" dxfId="2855" priority="3164" operator="containsText" text="Fully Achieved">
      <formula>NOT(ISERROR(SEARCH("Fully Achieved",G62)))</formula>
    </cfRule>
    <cfRule type="containsText" dxfId="2854" priority="3165" operator="containsText" text="Fully Achieved">
      <formula>NOT(ISERROR(SEARCH("Fully Achieved",G62)))</formula>
    </cfRule>
    <cfRule type="containsText" dxfId="2853" priority="3166" operator="containsText" text="Fully Achieved">
      <formula>NOT(ISERROR(SEARCH("Fully Achieved",G62)))</formula>
    </cfRule>
    <cfRule type="containsText" dxfId="2852" priority="3167" operator="containsText" text="Deferred">
      <formula>NOT(ISERROR(SEARCH("Deferred",G62)))</formula>
    </cfRule>
    <cfRule type="containsText" dxfId="2851" priority="3168" operator="containsText" text="Deleted">
      <formula>NOT(ISERROR(SEARCH("Deleted",G62)))</formula>
    </cfRule>
    <cfRule type="containsText" dxfId="2850" priority="3169" operator="containsText" text="In Danger of Falling Behind Target">
      <formula>NOT(ISERROR(SEARCH("In Danger of Falling Behind Target",G62)))</formula>
    </cfRule>
    <cfRule type="containsText" dxfId="2849" priority="3170" operator="containsText" text="Not yet due">
      <formula>NOT(ISERROR(SEARCH("Not yet due",G62)))</formula>
    </cfRule>
    <cfRule type="containsText" dxfId="2848" priority="3171" operator="containsText" text="Update not Provided">
      <formula>NOT(ISERROR(SEARCH("Update not Provided",G62)))</formula>
    </cfRule>
  </conditionalFormatting>
  <conditionalFormatting sqref="G69">
    <cfRule type="containsText" dxfId="2847" priority="3100" operator="containsText" text="On track to be achieved">
      <formula>NOT(ISERROR(SEARCH("On track to be achieved",G69)))</formula>
    </cfRule>
    <cfRule type="containsText" dxfId="2846" priority="3101" operator="containsText" text="Deferred">
      <formula>NOT(ISERROR(SEARCH("Deferred",G69)))</formula>
    </cfRule>
    <cfRule type="containsText" dxfId="2845" priority="3102" operator="containsText" text="Deleted">
      <formula>NOT(ISERROR(SEARCH("Deleted",G69)))</formula>
    </cfRule>
    <cfRule type="containsText" dxfId="2844" priority="3103" operator="containsText" text="In Danger of Falling Behind Target">
      <formula>NOT(ISERROR(SEARCH("In Danger of Falling Behind Target",G69)))</formula>
    </cfRule>
    <cfRule type="containsText" dxfId="2843" priority="3104" operator="containsText" text="Not yet due">
      <formula>NOT(ISERROR(SEARCH("Not yet due",G69)))</formula>
    </cfRule>
    <cfRule type="containsText" dxfId="2842" priority="3105" operator="containsText" text="Update not Provided">
      <formula>NOT(ISERROR(SEARCH("Update not Provided",G69)))</formula>
    </cfRule>
    <cfRule type="containsText" dxfId="2841" priority="3106" operator="containsText" text="Not yet due">
      <formula>NOT(ISERROR(SEARCH("Not yet due",G69)))</formula>
    </cfRule>
    <cfRule type="containsText" dxfId="2840" priority="3107" operator="containsText" text="Completed Behind Schedule">
      <formula>NOT(ISERROR(SEARCH("Completed Behind Schedule",G69)))</formula>
    </cfRule>
    <cfRule type="containsText" dxfId="2839" priority="3108" operator="containsText" text="Off Target">
      <formula>NOT(ISERROR(SEARCH("Off Target",G69)))</formula>
    </cfRule>
    <cfRule type="containsText" dxfId="2838" priority="3109" operator="containsText" text="On Track to be Achieved">
      <formula>NOT(ISERROR(SEARCH("On Track to be Achieved",G69)))</formula>
    </cfRule>
    <cfRule type="containsText" dxfId="2837" priority="3110" operator="containsText" text="Fully Achieved">
      <formula>NOT(ISERROR(SEARCH("Fully Achieved",G69)))</formula>
    </cfRule>
    <cfRule type="containsText" dxfId="2836" priority="3111" operator="containsText" text="Not yet due">
      <formula>NOT(ISERROR(SEARCH("Not yet due",G69)))</formula>
    </cfRule>
    <cfRule type="containsText" dxfId="2835" priority="3112" operator="containsText" text="Not Yet Due">
      <formula>NOT(ISERROR(SEARCH("Not Yet Due",G69)))</formula>
    </cfRule>
    <cfRule type="containsText" dxfId="2834" priority="3113" operator="containsText" text="Deferred">
      <formula>NOT(ISERROR(SEARCH("Deferred",G69)))</formula>
    </cfRule>
    <cfRule type="containsText" dxfId="2833" priority="3114" operator="containsText" text="Deleted">
      <formula>NOT(ISERROR(SEARCH("Deleted",G69)))</formula>
    </cfRule>
    <cfRule type="containsText" dxfId="2832" priority="3115" operator="containsText" text="In Danger of Falling Behind Target">
      <formula>NOT(ISERROR(SEARCH("In Danger of Falling Behind Target",G69)))</formula>
    </cfRule>
    <cfRule type="containsText" dxfId="2831" priority="3116" operator="containsText" text="Not yet due">
      <formula>NOT(ISERROR(SEARCH("Not yet due",G69)))</formula>
    </cfRule>
    <cfRule type="containsText" dxfId="2830" priority="3117" operator="containsText" text="Completed Behind Schedule">
      <formula>NOT(ISERROR(SEARCH("Completed Behind Schedule",G69)))</formula>
    </cfRule>
    <cfRule type="containsText" dxfId="2829" priority="3118" operator="containsText" text="Off Target">
      <formula>NOT(ISERROR(SEARCH("Off Target",G69)))</formula>
    </cfRule>
    <cfRule type="containsText" dxfId="2828" priority="3119" operator="containsText" text="In Danger of Falling Behind Target">
      <formula>NOT(ISERROR(SEARCH("In Danger of Falling Behind Target",G69)))</formula>
    </cfRule>
    <cfRule type="containsText" dxfId="2827" priority="3120" operator="containsText" text="On Track to be Achieved">
      <formula>NOT(ISERROR(SEARCH("On Track to be Achieved",G69)))</formula>
    </cfRule>
    <cfRule type="containsText" dxfId="2826" priority="3121" operator="containsText" text="Fully Achieved">
      <formula>NOT(ISERROR(SEARCH("Fully Achieved",G69)))</formula>
    </cfRule>
    <cfRule type="containsText" dxfId="2825" priority="3122" operator="containsText" text="Update not Provided">
      <formula>NOT(ISERROR(SEARCH("Update not Provided",G69)))</formula>
    </cfRule>
    <cfRule type="containsText" dxfId="2824" priority="3123" operator="containsText" text="Not yet due">
      <formula>NOT(ISERROR(SEARCH("Not yet due",G69)))</formula>
    </cfRule>
    <cfRule type="containsText" dxfId="2823" priority="3124" operator="containsText" text="Completed Behind Schedule">
      <formula>NOT(ISERROR(SEARCH("Completed Behind Schedule",G69)))</formula>
    </cfRule>
    <cfRule type="containsText" dxfId="2822" priority="3125" operator="containsText" text="Off Target">
      <formula>NOT(ISERROR(SEARCH("Off Target",G69)))</formula>
    </cfRule>
    <cfRule type="containsText" dxfId="2821" priority="3126" operator="containsText" text="In Danger of Falling Behind Target">
      <formula>NOT(ISERROR(SEARCH("In Danger of Falling Behind Target",G69)))</formula>
    </cfRule>
    <cfRule type="containsText" dxfId="2820" priority="3127" operator="containsText" text="On Track to be Achieved">
      <formula>NOT(ISERROR(SEARCH("On Track to be Achieved",G69)))</formula>
    </cfRule>
    <cfRule type="containsText" dxfId="2819" priority="3128" operator="containsText" text="Fully Achieved">
      <formula>NOT(ISERROR(SEARCH("Fully Achieved",G69)))</formula>
    </cfRule>
    <cfRule type="containsText" dxfId="2818" priority="3129" operator="containsText" text="Fully Achieved">
      <formula>NOT(ISERROR(SEARCH("Fully Achieved",G69)))</formula>
    </cfRule>
    <cfRule type="containsText" dxfId="2817" priority="3130" operator="containsText" text="Fully Achieved">
      <formula>NOT(ISERROR(SEARCH("Fully Achieved",G69)))</formula>
    </cfRule>
    <cfRule type="containsText" dxfId="2816" priority="3131" operator="containsText" text="Deferred">
      <formula>NOT(ISERROR(SEARCH("Deferred",G69)))</formula>
    </cfRule>
    <cfRule type="containsText" dxfId="2815" priority="3132" operator="containsText" text="Deleted">
      <formula>NOT(ISERROR(SEARCH("Deleted",G69)))</formula>
    </cfRule>
    <cfRule type="containsText" dxfId="2814" priority="3133" operator="containsText" text="In Danger of Falling Behind Target">
      <formula>NOT(ISERROR(SEARCH("In Danger of Falling Behind Target",G69)))</formula>
    </cfRule>
    <cfRule type="containsText" dxfId="2813" priority="3134" operator="containsText" text="Not yet due">
      <formula>NOT(ISERROR(SEARCH("Not yet due",G69)))</formula>
    </cfRule>
    <cfRule type="containsText" dxfId="2812" priority="3135" operator="containsText" text="Update not Provided">
      <formula>NOT(ISERROR(SEARCH("Update not Provided",G69)))</formula>
    </cfRule>
  </conditionalFormatting>
  <conditionalFormatting sqref="G69">
    <cfRule type="containsText" dxfId="2811" priority="3064" operator="containsText" text="On track to be achieved">
      <formula>NOT(ISERROR(SEARCH("On track to be achieved",G69)))</formula>
    </cfRule>
    <cfRule type="containsText" dxfId="2810" priority="3065" operator="containsText" text="Deferred">
      <formula>NOT(ISERROR(SEARCH("Deferred",G69)))</formula>
    </cfRule>
    <cfRule type="containsText" dxfId="2809" priority="3066" operator="containsText" text="Deleted">
      <formula>NOT(ISERROR(SEARCH("Deleted",G69)))</formula>
    </cfRule>
    <cfRule type="containsText" dxfId="2808" priority="3067" operator="containsText" text="In Danger of Falling Behind Target">
      <formula>NOT(ISERROR(SEARCH("In Danger of Falling Behind Target",G69)))</formula>
    </cfRule>
    <cfRule type="containsText" dxfId="2807" priority="3068" operator="containsText" text="Not yet due">
      <formula>NOT(ISERROR(SEARCH("Not yet due",G69)))</formula>
    </cfRule>
    <cfRule type="containsText" dxfId="2806" priority="3069" operator="containsText" text="Update not Provided">
      <formula>NOT(ISERROR(SEARCH("Update not Provided",G69)))</formula>
    </cfRule>
    <cfRule type="containsText" dxfId="2805" priority="3070" operator="containsText" text="Not yet due">
      <formula>NOT(ISERROR(SEARCH("Not yet due",G69)))</formula>
    </cfRule>
    <cfRule type="containsText" dxfId="2804" priority="3071" operator="containsText" text="Completed Behind Schedule">
      <formula>NOT(ISERROR(SEARCH("Completed Behind Schedule",G69)))</formula>
    </cfRule>
    <cfRule type="containsText" dxfId="2803" priority="3072" operator="containsText" text="Off Target">
      <formula>NOT(ISERROR(SEARCH("Off Target",G69)))</formula>
    </cfRule>
    <cfRule type="containsText" dxfId="2802" priority="3073" operator="containsText" text="On Track to be Achieved">
      <formula>NOT(ISERROR(SEARCH("On Track to be Achieved",G69)))</formula>
    </cfRule>
    <cfRule type="containsText" dxfId="2801" priority="3074" operator="containsText" text="Fully Achieved">
      <formula>NOT(ISERROR(SEARCH("Fully Achieved",G69)))</formula>
    </cfRule>
    <cfRule type="containsText" dxfId="2800" priority="3075" operator="containsText" text="Not yet due">
      <formula>NOT(ISERROR(SEARCH("Not yet due",G69)))</formula>
    </cfRule>
    <cfRule type="containsText" dxfId="2799" priority="3076" operator="containsText" text="Not Yet Due">
      <formula>NOT(ISERROR(SEARCH("Not Yet Due",G69)))</formula>
    </cfRule>
    <cfRule type="containsText" dxfId="2798" priority="3077" operator="containsText" text="Deferred">
      <formula>NOT(ISERROR(SEARCH("Deferred",G69)))</formula>
    </cfRule>
    <cfRule type="containsText" dxfId="2797" priority="3078" operator="containsText" text="Deleted">
      <formula>NOT(ISERROR(SEARCH("Deleted",G69)))</formula>
    </cfRule>
    <cfRule type="containsText" dxfId="2796" priority="3079" operator="containsText" text="In Danger of Falling Behind Target">
      <formula>NOT(ISERROR(SEARCH("In Danger of Falling Behind Target",G69)))</formula>
    </cfRule>
    <cfRule type="containsText" dxfId="2795" priority="3080" operator="containsText" text="Not yet due">
      <formula>NOT(ISERROR(SEARCH("Not yet due",G69)))</formula>
    </cfRule>
    <cfRule type="containsText" dxfId="2794" priority="3081" operator="containsText" text="Completed Behind Schedule">
      <formula>NOT(ISERROR(SEARCH("Completed Behind Schedule",G69)))</formula>
    </cfRule>
    <cfRule type="containsText" dxfId="2793" priority="3082" operator="containsText" text="Off Target">
      <formula>NOT(ISERROR(SEARCH("Off Target",G69)))</formula>
    </cfRule>
    <cfRule type="containsText" dxfId="2792" priority="3083" operator="containsText" text="In Danger of Falling Behind Target">
      <formula>NOT(ISERROR(SEARCH("In Danger of Falling Behind Target",G69)))</formula>
    </cfRule>
    <cfRule type="containsText" dxfId="2791" priority="3084" operator="containsText" text="On Track to be Achieved">
      <formula>NOT(ISERROR(SEARCH("On Track to be Achieved",G69)))</formula>
    </cfRule>
    <cfRule type="containsText" dxfId="2790" priority="3085" operator="containsText" text="Fully Achieved">
      <formula>NOT(ISERROR(SEARCH("Fully Achieved",G69)))</formula>
    </cfRule>
    <cfRule type="containsText" dxfId="2789" priority="3086" operator="containsText" text="Update not Provided">
      <formula>NOT(ISERROR(SEARCH("Update not Provided",G69)))</formula>
    </cfRule>
    <cfRule type="containsText" dxfId="2788" priority="3087" operator="containsText" text="Not yet due">
      <formula>NOT(ISERROR(SEARCH("Not yet due",G69)))</formula>
    </cfRule>
    <cfRule type="containsText" dxfId="2787" priority="3088" operator="containsText" text="Completed Behind Schedule">
      <formula>NOT(ISERROR(SEARCH("Completed Behind Schedule",G69)))</formula>
    </cfRule>
    <cfRule type="containsText" dxfId="2786" priority="3089" operator="containsText" text="Off Target">
      <formula>NOT(ISERROR(SEARCH("Off Target",G69)))</formula>
    </cfRule>
    <cfRule type="containsText" dxfId="2785" priority="3090" operator="containsText" text="In Danger of Falling Behind Target">
      <formula>NOT(ISERROR(SEARCH("In Danger of Falling Behind Target",G69)))</formula>
    </cfRule>
    <cfRule type="containsText" dxfId="2784" priority="3091" operator="containsText" text="On Track to be Achieved">
      <formula>NOT(ISERROR(SEARCH("On Track to be Achieved",G69)))</formula>
    </cfRule>
    <cfRule type="containsText" dxfId="2783" priority="3092" operator="containsText" text="Fully Achieved">
      <formula>NOT(ISERROR(SEARCH("Fully Achieved",G69)))</formula>
    </cfRule>
    <cfRule type="containsText" dxfId="2782" priority="3093" operator="containsText" text="Fully Achieved">
      <formula>NOT(ISERROR(SEARCH("Fully Achieved",G69)))</formula>
    </cfRule>
    <cfRule type="containsText" dxfId="2781" priority="3094" operator="containsText" text="Fully Achieved">
      <formula>NOT(ISERROR(SEARCH("Fully Achieved",G69)))</formula>
    </cfRule>
    <cfRule type="containsText" dxfId="2780" priority="3095" operator="containsText" text="Deferred">
      <formula>NOT(ISERROR(SEARCH("Deferred",G69)))</formula>
    </cfRule>
    <cfRule type="containsText" dxfId="2779" priority="3096" operator="containsText" text="Deleted">
      <formula>NOT(ISERROR(SEARCH("Deleted",G69)))</formula>
    </cfRule>
    <cfRule type="containsText" dxfId="2778" priority="3097" operator="containsText" text="In Danger of Falling Behind Target">
      <formula>NOT(ISERROR(SEARCH("In Danger of Falling Behind Target",G69)))</formula>
    </cfRule>
    <cfRule type="containsText" dxfId="2777" priority="3098" operator="containsText" text="Not yet due">
      <formula>NOT(ISERROR(SEARCH("Not yet due",G69)))</formula>
    </cfRule>
    <cfRule type="containsText" dxfId="2776" priority="3099" operator="containsText" text="Update not Provided">
      <formula>NOT(ISERROR(SEARCH("Update not Provided",G69)))</formula>
    </cfRule>
  </conditionalFormatting>
  <conditionalFormatting sqref="G69">
    <cfRule type="containsText" dxfId="2775" priority="3028" operator="containsText" text="On track to be achieved">
      <formula>NOT(ISERROR(SEARCH("On track to be achieved",G69)))</formula>
    </cfRule>
    <cfRule type="containsText" dxfId="2774" priority="3029" operator="containsText" text="Deferred">
      <formula>NOT(ISERROR(SEARCH("Deferred",G69)))</formula>
    </cfRule>
    <cfRule type="containsText" dxfId="2773" priority="3030" operator="containsText" text="Deleted">
      <formula>NOT(ISERROR(SEARCH("Deleted",G69)))</formula>
    </cfRule>
    <cfRule type="containsText" dxfId="2772" priority="3031" operator="containsText" text="In Danger of Falling Behind Target">
      <formula>NOT(ISERROR(SEARCH("In Danger of Falling Behind Target",G69)))</formula>
    </cfRule>
    <cfRule type="containsText" dxfId="2771" priority="3032" operator="containsText" text="Not yet due">
      <formula>NOT(ISERROR(SEARCH("Not yet due",G69)))</formula>
    </cfRule>
    <cfRule type="containsText" dxfId="2770" priority="3033" operator="containsText" text="Update not Provided">
      <formula>NOT(ISERROR(SEARCH("Update not Provided",G69)))</formula>
    </cfRule>
    <cfRule type="containsText" dxfId="2769" priority="3034" operator="containsText" text="Not yet due">
      <formula>NOT(ISERROR(SEARCH("Not yet due",G69)))</formula>
    </cfRule>
    <cfRule type="containsText" dxfId="2768" priority="3035" operator="containsText" text="Completed Behind Schedule">
      <formula>NOT(ISERROR(SEARCH("Completed Behind Schedule",G69)))</formula>
    </cfRule>
    <cfRule type="containsText" dxfId="2767" priority="3036" operator="containsText" text="Off Target">
      <formula>NOT(ISERROR(SEARCH("Off Target",G69)))</formula>
    </cfRule>
    <cfRule type="containsText" dxfId="2766" priority="3037" operator="containsText" text="On Track to be Achieved">
      <formula>NOT(ISERROR(SEARCH("On Track to be Achieved",G69)))</formula>
    </cfRule>
    <cfRule type="containsText" dxfId="2765" priority="3038" operator="containsText" text="Fully Achieved">
      <formula>NOT(ISERROR(SEARCH("Fully Achieved",G69)))</formula>
    </cfRule>
    <cfRule type="containsText" dxfId="2764" priority="3039" operator="containsText" text="Not yet due">
      <formula>NOT(ISERROR(SEARCH("Not yet due",G69)))</formula>
    </cfRule>
    <cfRule type="containsText" dxfId="2763" priority="3040" operator="containsText" text="Not Yet Due">
      <formula>NOT(ISERROR(SEARCH("Not Yet Due",G69)))</formula>
    </cfRule>
    <cfRule type="containsText" dxfId="2762" priority="3041" operator="containsText" text="Deferred">
      <formula>NOT(ISERROR(SEARCH("Deferred",G69)))</formula>
    </cfRule>
    <cfRule type="containsText" dxfId="2761" priority="3042" operator="containsText" text="Deleted">
      <formula>NOT(ISERROR(SEARCH("Deleted",G69)))</formula>
    </cfRule>
    <cfRule type="containsText" dxfId="2760" priority="3043" operator="containsText" text="In Danger of Falling Behind Target">
      <formula>NOT(ISERROR(SEARCH("In Danger of Falling Behind Target",G69)))</formula>
    </cfRule>
    <cfRule type="containsText" dxfId="2759" priority="3044" operator="containsText" text="Not yet due">
      <formula>NOT(ISERROR(SEARCH("Not yet due",G69)))</formula>
    </cfRule>
    <cfRule type="containsText" dxfId="2758" priority="3045" operator="containsText" text="Completed Behind Schedule">
      <formula>NOT(ISERROR(SEARCH("Completed Behind Schedule",G69)))</formula>
    </cfRule>
    <cfRule type="containsText" dxfId="2757" priority="3046" operator="containsText" text="Off Target">
      <formula>NOT(ISERROR(SEARCH("Off Target",G69)))</formula>
    </cfRule>
    <cfRule type="containsText" dxfId="2756" priority="3047" operator="containsText" text="In Danger of Falling Behind Target">
      <formula>NOT(ISERROR(SEARCH("In Danger of Falling Behind Target",G69)))</formula>
    </cfRule>
    <cfRule type="containsText" dxfId="2755" priority="3048" operator="containsText" text="On Track to be Achieved">
      <formula>NOT(ISERROR(SEARCH("On Track to be Achieved",G69)))</formula>
    </cfRule>
    <cfRule type="containsText" dxfId="2754" priority="3049" operator="containsText" text="Fully Achieved">
      <formula>NOT(ISERROR(SEARCH("Fully Achieved",G69)))</formula>
    </cfRule>
    <cfRule type="containsText" dxfId="2753" priority="3050" operator="containsText" text="Update not Provided">
      <formula>NOT(ISERROR(SEARCH("Update not Provided",G69)))</formula>
    </cfRule>
    <cfRule type="containsText" dxfId="2752" priority="3051" operator="containsText" text="Not yet due">
      <formula>NOT(ISERROR(SEARCH("Not yet due",G69)))</formula>
    </cfRule>
    <cfRule type="containsText" dxfId="2751" priority="3052" operator="containsText" text="Completed Behind Schedule">
      <formula>NOT(ISERROR(SEARCH("Completed Behind Schedule",G69)))</formula>
    </cfRule>
    <cfRule type="containsText" dxfId="2750" priority="3053" operator="containsText" text="Off Target">
      <formula>NOT(ISERROR(SEARCH("Off Target",G69)))</formula>
    </cfRule>
    <cfRule type="containsText" dxfId="2749" priority="3054" operator="containsText" text="In Danger of Falling Behind Target">
      <formula>NOT(ISERROR(SEARCH("In Danger of Falling Behind Target",G69)))</formula>
    </cfRule>
    <cfRule type="containsText" dxfId="2748" priority="3055" operator="containsText" text="On Track to be Achieved">
      <formula>NOT(ISERROR(SEARCH("On Track to be Achieved",G69)))</formula>
    </cfRule>
    <cfRule type="containsText" dxfId="2747" priority="3056" operator="containsText" text="Fully Achieved">
      <formula>NOT(ISERROR(SEARCH("Fully Achieved",G69)))</formula>
    </cfRule>
    <cfRule type="containsText" dxfId="2746" priority="3057" operator="containsText" text="Fully Achieved">
      <formula>NOT(ISERROR(SEARCH("Fully Achieved",G69)))</formula>
    </cfRule>
    <cfRule type="containsText" dxfId="2745" priority="3058" operator="containsText" text="Fully Achieved">
      <formula>NOT(ISERROR(SEARCH("Fully Achieved",G69)))</formula>
    </cfRule>
    <cfRule type="containsText" dxfId="2744" priority="3059" operator="containsText" text="Deferred">
      <formula>NOT(ISERROR(SEARCH("Deferred",G69)))</formula>
    </cfRule>
    <cfRule type="containsText" dxfId="2743" priority="3060" operator="containsText" text="Deleted">
      <formula>NOT(ISERROR(SEARCH("Deleted",G69)))</formula>
    </cfRule>
    <cfRule type="containsText" dxfId="2742" priority="3061" operator="containsText" text="In Danger of Falling Behind Target">
      <formula>NOT(ISERROR(SEARCH("In Danger of Falling Behind Target",G69)))</formula>
    </cfRule>
    <cfRule type="containsText" dxfId="2741" priority="3062" operator="containsText" text="Not yet due">
      <formula>NOT(ISERROR(SEARCH("Not yet due",G69)))</formula>
    </cfRule>
    <cfRule type="containsText" dxfId="2740" priority="3063" operator="containsText" text="Update not Provided">
      <formula>NOT(ISERROR(SEARCH("Update not Provided",G69)))</formula>
    </cfRule>
  </conditionalFormatting>
  <conditionalFormatting sqref="G70:G71">
    <cfRule type="containsText" dxfId="2739" priority="2992" operator="containsText" text="On track to be achieved">
      <formula>NOT(ISERROR(SEARCH("On track to be achieved",G70)))</formula>
    </cfRule>
    <cfRule type="containsText" dxfId="2738" priority="2993" operator="containsText" text="Deferred">
      <formula>NOT(ISERROR(SEARCH("Deferred",G70)))</formula>
    </cfRule>
    <cfRule type="containsText" dxfId="2737" priority="2994" operator="containsText" text="Deleted">
      <formula>NOT(ISERROR(SEARCH("Deleted",G70)))</formula>
    </cfRule>
    <cfRule type="containsText" dxfId="2736" priority="2995" operator="containsText" text="In Danger of Falling Behind Target">
      <formula>NOT(ISERROR(SEARCH("In Danger of Falling Behind Target",G70)))</formula>
    </cfRule>
    <cfRule type="containsText" dxfId="2735" priority="2996" operator="containsText" text="Not yet due">
      <formula>NOT(ISERROR(SEARCH("Not yet due",G70)))</formula>
    </cfRule>
    <cfRule type="containsText" dxfId="2734" priority="2997" operator="containsText" text="Update not Provided">
      <formula>NOT(ISERROR(SEARCH("Update not Provided",G70)))</formula>
    </cfRule>
    <cfRule type="containsText" dxfId="2733" priority="2998" operator="containsText" text="Not yet due">
      <formula>NOT(ISERROR(SEARCH("Not yet due",G70)))</formula>
    </cfRule>
    <cfRule type="containsText" dxfId="2732" priority="2999" operator="containsText" text="Completed Behind Schedule">
      <formula>NOT(ISERROR(SEARCH("Completed Behind Schedule",G70)))</formula>
    </cfRule>
    <cfRule type="containsText" dxfId="2731" priority="3000" operator="containsText" text="Off Target">
      <formula>NOT(ISERROR(SEARCH("Off Target",G70)))</formula>
    </cfRule>
    <cfRule type="containsText" dxfId="2730" priority="3001" operator="containsText" text="On Track to be Achieved">
      <formula>NOT(ISERROR(SEARCH("On Track to be Achieved",G70)))</formula>
    </cfRule>
    <cfRule type="containsText" dxfId="2729" priority="3002" operator="containsText" text="Fully Achieved">
      <formula>NOT(ISERROR(SEARCH("Fully Achieved",G70)))</formula>
    </cfRule>
    <cfRule type="containsText" dxfId="2728" priority="3003" operator="containsText" text="Not yet due">
      <formula>NOT(ISERROR(SEARCH("Not yet due",G70)))</formula>
    </cfRule>
    <cfRule type="containsText" dxfId="2727" priority="3004" operator="containsText" text="Not Yet Due">
      <formula>NOT(ISERROR(SEARCH("Not Yet Due",G70)))</formula>
    </cfRule>
    <cfRule type="containsText" dxfId="2726" priority="3005" operator="containsText" text="Deferred">
      <formula>NOT(ISERROR(SEARCH("Deferred",G70)))</formula>
    </cfRule>
    <cfRule type="containsText" dxfId="2725" priority="3006" operator="containsText" text="Deleted">
      <formula>NOT(ISERROR(SEARCH("Deleted",G70)))</formula>
    </cfRule>
    <cfRule type="containsText" dxfId="2724" priority="3007" operator="containsText" text="In Danger of Falling Behind Target">
      <formula>NOT(ISERROR(SEARCH("In Danger of Falling Behind Target",G70)))</formula>
    </cfRule>
    <cfRule type="containsText" dxfId="2723" priority="3008" operator="containsText" text="Not yet due">
      <formula>NOT(ISERROR(SEARCH("Not yet due",G70)))</formula>
    </cfRule>
    <cfRule type="containsText" dxfId="2722" priority="3009" operator="containsText" text="Completed Behind Schedule">
      <formula>NOT(ISERROR(SEARCH("Completed Behind Schedule",G70)))</formula>
    </cfRule>
    <cfRule type="containsText" dxfId="2721" priority="3010" operator="containsText" text="Off Target">
      <formula>NOT(ISERROR(SEARCH("Off Target",G70)))</formula>
    </cfRule>
    <cfRule type="containsText" dxfId="2720" priority="3011" operator="containsText" text="In Danger of Falling Behind Target">
      <formula>NOT(ISERROR(SEARCH("In Danger of Falling Behind Target",G70)))</formula>
    </cfRule>
    <cfRule type="containsText" dxfId="2719" priority="3012" operator="containsText" text="On Track to be Achieved">
      <formula>NOT(ISERROR(SEARCH("On Track to be Achieved",G70)))</formula>
    </cfRule>
    <cfRule type="containsText" dxfId="2718" priority="3013" operator="containsText" text="Fully Achieved">
      <formula>NOT(ISERROR(SEARCH("Fully Achieved",G70)))</formula>
    </cfRule>
    <cfRule type="containsText" dxfId="2717" priority="3014" operator="containsText" text="Update not Provided">
      <formula>NOT(ISERROR(SEARCH("Update not Provided",G70)))</formula>
    </cfRule>
    <cfRule type="containsText" dxfId="2716" priority="3015" operator="containsText" text="Not yet due">
      <formula>NOT(ISERROR(SEARCH("Not yet due",G70)))</formula>
    </cfRule>
    <cfRule type="containsText" dxfId="2715" priority="3016" operator="containsText" text="Completed Behind Schedule">
      <formula>NOT(ISERROR(SEARCH("Completed Behind Schedule",G70)))</formula>
    </cfRule>
    <cfRule type="containsText" dxfId="2714" priority="3017" operator="containsText" text="Off Target">
      <formula>NOT(ISERROR(SEARCH("Off Target",G70)))</formula>
    </cfRule>
    <cfRule type="containsText" dxfId="2713" priority="3018" operator="containsText" text="In Danger of Falling Behind Target">
      <formula>NOT(ISERROR(SEARCH("In Danger of Falling Behind Target",G70)))</formula>
    </cfRule>
    <cfRule type="containsText" dxfId="2712" priority="3019" operator="containsText" text="On Track to be Achieved">
      <formula>NOT(ISERROR(SEARCH("On Track to be Achieved",G70)))</formula>
    </cfRule>
    <cfRule type="containsText" dxfId="2711" priority="3020" operator="containsText" text="Fully Achieved">
      <formula>NOT(ISERROR(SEARCH("Fully Achieved",G70)))</formula>
    </cfRule>
    <cfRule type="containsText" dxfId="2710" priority="3021" operator="containsText" text="Fully Achieved">
      <formula>NOT(ISERROR(SEARCH("Fully Achieved",G70)))</formula>
    </cfRule>
    <cfRule type="containsText" dxfId="2709" priority="3022" operator="containsText" text="Fully Achieved">
      <formula>NOT(ISERROR(SEARCH("Fully Achieved",G70)))</formula>
    </cfRule>
    <cfRule type="containsText" dxfId="2708" priority="3023" operator="containsText" text="Deferred">
      <formula>NOT(ISERROR(SEARCH("Deferred",G70)))</formula>
    </cfRule>
    <cfRule type="containsText" dxfId="2707" priority="3024" operator="containsText" text="Deleted">
      <formula>NOT(ISERROR(SEARCH("Deleted",G70)))</formula>
    </cfRule>
    <cfRule type="containsText" dxfId="2706" priority="3025" operator="containsText" text="In Danger of Falling Behind Target">
      <formula>NOT(ISERROR(SEARCH("In Danger of Falling Behind Target",G70)))</formula>
    </cfRule>
    <cfRule type="containsText" dxfId="2705" priority="3026" operator="containsText" text="Not yet due">
      <formula>NOT(ISERROR(SEARCH("Not yet due",G70)))</formula>
    </cfRule>
    <cfRule type="containsText" dxfId="2704" priority="3027" operator="containsText" text="Update not Provided">
      <formula>NOT(ISERROR(SEARCH("Update not Provided",G70)))</formula>
    </cfRule>
  </conditionalFormatting>
  <conditionalFormatting sqref="G70:G71">
    <cfRule type="containsText" dxfId="2703" priority="2956" operator="containsText" text="On track to be achieved">
      <formula>NOT(ISERROR(SEARCH("On track to be achieved",G70)))</formula>
    </cfRule>
    <cfRule type="containsText" dxfId="2702" priority="2957" operator="containsText" text="Deferred">
      <formula>NOT(ISERROR(SEARCH("Deferred",G70)))</formula>
    </cfRule>
    <cfRule type="containsText" dxfId="2701" priority="2958" operator="containsText" text="Deleted">
      <formula>NOT(ISERROR(SEARCH("Deleted",G70)))</formula>
    </cfRule>
    <cfRule type="containsText" dxfId="2700" priority="2959" operator="containsText" text="In Danger of Falling Behind Target">
      <formula>NOT(ISERROR(SEARCH("In Danger of Falling Behind Target",G70)))</formula>
    </cfRule>
    <cfRule type="containsText" dxfId="2699" priority="2960" operator="containsText" text="Not yet due">
      <formula>NOT(ISERROR(SEARCH("Not yet due",G70)))</formula>
    </cfRule>
    <cfRule type="containsText" dxfId="2698" priority="2961" operator="containsText" text="Update not Provided">
      <formula>NOT(ISERROR(SEARCH("Update not Provided",G70)))</formula>
    </cfRule>
    <cfRule type="containsText" dxfId="2697" priority="2962" operator="containsText" text="Not yet due">
      <formula>NOT(ISERROR(SEARCH("Not yet due",G70)))</formula>
    </cfRule>
    <cfRule type="containsText" dxfId="2696" priority="2963" operator="containsText" text="Completed Behind Schedule">
      <formula>NOT(ISERROR(SEARCH("Completed Behind Schedule",G70)))</formula>
    </cfRule>
    <cfRule type="containsText" dxfId="2695" priority="2964" operator="containsText" text="Off Target">
      <formula>NOT(ISERROR(SEARCH("Off Target",G70)))</formula>
    </cfRule>
    <cfRule type="containsText" dxfId="2694" priority="2965" operator="containsText" text="On Track to be Achieved">
      <formula>NOT(ISERROR(SEARCH("On Track to be Achieved",G70)))</formula>
    </cfRule>
    <cfRule type="containsText" dxfId="2693" priority="2966" operator="containsText" text="Fully Achieved">
      <formula>NOT(ISERROR(SEARCH("Fully Achieved",G70)))</formula>
    </cfRule>
    <cfRule type="containsText" dxfId="2692" priority="2967" operator="containsText" text="Not yet due">
      <formula>NOT(ISERROR(SEARCH("Not yet due",G70)))</formula>
    </cfRule>
    <cfRule type="containsText" dxfId="2691" priority="2968" operator="containsText" text="Not Yet Due">
      <formula>NOT(ISERROR(SEARCH("Not Yet Due",G70)))</formula>
    </cfRule>
    <cfRule type="containsText" dxfId="2690" priority="2969" operator="containsText" text="Deferred">
      <formula>NOT(ISERROR(SEARCH("Deferred",G70)))</formula>
    </cfRule>
    <cfRule type="containsText" dxfId="2689" priority="2970" operator="containsText" text="Deleted">
      <formula>NOT(ISERROR(SEARCH("Deleted",G70)))</formula>
    </cfRule>
    <cfRule type="containsText" dxfId="2688" priority="2971" operator="containsText" text="In Danger of Falling Behind Target">
      <formula>NOT(ISERROR(SEARCH("In Danger of Falling Behind Target",G70)))</formula>
    </cfRule>
    <cfRule type="containsText" dxfId="2687" priority="2972" operator="containsText" text="Not yet due">
      <formula>NOT(ISERROR(SEARCH("Not yet due",G70)))</formula>
    </cfRule>
    <cfRule type="containsText" dxfId="2686" priority="2973" operator="containsText" text="Completed Behind Schedule">
      <formula>NOT(ISERROR(SEARCH("Completed Behind Schedule",G70)))</formula>
    </cfRule>
    <cfRule type="containsText" dxfId="2685" priority="2974" operator="containsText" text="Off Target">
      <formula>NOT(ISERROR(SEARCH("Off Target",G70)))</formula>
    </cfRule>
    <cfRule type="containsText" dxfId="2684" priority="2975" operator="containsText" text="In Danger of Falling Behind Target">
      <formula>NOT(ISERROR(SEARCH("In Danger of Falling Behind Target",G70)))</formula>
    </cfRule>
    <cfRule type="containsText" dxfId="2683" priority="2976" operator="containsText" text="On Track to be Achieved">
      <formula>NOT(ISERROR(SEARCH("On Track to be Achieved",G70)))</formula>
    </cfRule>
    <cfRule type="containsText" dxfId="2682" priority="2977" operator="containsText" text="Fully Achieved">
      <formula>NOT(ISERROR(SEARCH("Fully Achieved",G70)))</formula>
    </cfRule>
    <cfRule type="containsText" dxfId="2681" priority="2978" operator="containsText" text="Update not Provided">
      <formula>NOT(ISERROR(SEARCH("Update not Provided",G70)))</formula>
    </cfRule>
    <cfRule type="containsText" dxfId="2680" priority="2979" operator="containsText" text="Not yet due">
      <formula>NOT(ISERROR(SEARCH("Not yet due",G70)))</formula>
    </cfRule>
    <cfRule type="containsText" dxfId="2679" priority="2980" operator="containsText" text="Completed Behind Schedule">
      <formula>NOT(ISERROR(SEARCH("Completed Behind Schedule",G70)))</formula>
    </cfRule>
    <cfRule type="containsText" dxfId="2678" priority="2981" operator="containsText" text="Off Target">
      <formula>NOT(ISERROR(SEARCH("Off Target",G70)))</formula>
    </cfRule>
    <cfRule type="containsText" dxfId="2677" priority="2982" operator="containsText" text="In Danger of Falling Behind Target">
      <formula>NOT(ISERROR(SEARCH("In Danger of Falling Behind Target",G70)))</formula>
    </cfRule>
    <cfRule type="containsText" dxfId="2676" priority="2983" operator="containsText" text="On Track to be Achieved">
      <formula>NOT(ISERROR(SEARCH("On Track to be Achieved",G70)))</formula>
    </cfRule>
    <cfRule type="containsText" dxfId="2675" priority="2984" operator="containsText" text="Fully Achieved">
      <formula>NOT(ISERROR(SEARCH("Fully Achieved",G70)))</formula>
    </cfRule>
    <cfRule type="containsText" dxfId="2674" priority="2985" operator="containsText" text="Fully Achieved">
      <formula>NOT(ISERROR(SEARCH("Fully Achieved",G70)))</formula>
    </cfRule>
    <cfRule type="containsText" dxfId="2673" priority="2986" operator="containsText" text="Fully Achieved">
      <formula>NOT(ISERROR(SEARCH("Fully Achieved",G70)))</formula>
    </cfRule>
    <cfRule type="containsText" dxfId="2672" priority="2987" operator="containsText" text="Deferred">
      <formula>NOT(ISERROR(SEARCH("Deferred",G70)))</formula>
    </cfRule>
    <cfRule type="containsText" dxfId="2671" priority="2988" operator="containsText" text="Deleted">
      <formula>NOT(ISERROR(SEARCH("Deleted",G70)))</formula>
    </cfRule>
    <cfRule type="containsText" dxfId="2670" priority="2989" operator="containsText" text="In Danger of Falling Behind Target">
      <formula>NOT(ISERROR(SEARCH("In Danger of Falling Behind Target",G70)))</formula>
    </cfRule>
    <cfRule type="containsText" dxfId="2669" priority="2990" operator="containsText" text="Not yet due">
      <formula>NOT(ISERROR(SEARCH("Not yet due",G70)))</formula>
    </cfRule>
    <cfRule type="containsText" dxfId="2668" priority="2991" operator="containsText" text="Update not Provided">
      <formula>NOT(ISERROR(SEARCH("Update not Provided",G70)))</formula>
    </cfRule>
  </conditionalFormatting>
  <conditionalFormatting sqref="G70:G71">
    <cfRule type="containsText" dxfId="2667" priority="2920" operator="containsText" text="On track to be achieved">
      <formula>NOT(ISERROR(SEARCH("On track to be achieved",G70)))</formula>
    </cfRule>
    <cfRule type="containsText" dxfId="2666" priority="2921" operator="containsText" text="Deferred">
      <formula>NOT(ISERROR(SEARCH("Deferred",G70)))</formula>
    </cfRule>
    <cfRule type="containsText" dxfId="2665" priority="2922" operator="containsText" text="Deleted">
      <formula>NOT(ISERROR(SEARCH("Deleted",G70)))</formula>
    </cfRule>
    <cfRule type="containsText" dxfId="2664" priority="2923" operator="containsText" text="In Danger of Falling Behind Target">
      <formula>NOT(ISERROR(SEARCH("In Danger of Falling Behind Target",G70)))</formula>
    </cfRule>
    <cfRule type="containsText" dxfId="2663" priority="2924" operator="containsText" text="Not yet due">
      <formula>NOT(ISERROR(SEARCH("Not yet due",G70)))</formula>
    </cfRule>
    <cfRule type="containsText" dxfId="2662" priority="2925" operator="containsText" text="Update not Provided">
      <formula>NOT(ISERROR(SEARCH("Update not Provided",G70)))</formula>
    </cfRule>
    <cfRule type="containsText" dxfId="2661" priority="2926" operator="containsText" text="Not yet due">
      <formula>NOT(ISERROR(SEARCH("Not yet due",G70)))</formula>
    </cfRule>
    <cfRule type="containsText" dxfId="2660" priority="2927" operator="containsText" text="Completed Behind Schedule">
      <formula>NOT(ISERROR(SEARCH("Completed Behind Schedule",G70)))</formula>
    </cfRule>
    <cfRule type="containsText" dxfId="2659" priority="2928" operator="containsText" text="Off Target">
      <formula>NOT(ISERROR(SEARCH("Off Target",G70)))</formula>
    </cfRule>
    <cfRule type="containsText" dxfId="2658" priority="2929" operator="containsText" text="On Track to be Achieved">
      <formula>NOT(ISERROR(SEARCH("On Track to be Achieved",G70)))</formula>
    </cfRule>
    <cfRule type="containsText" dxfId="2657" priority="2930" operator="containsText" text="Fully Achieved">
      <formula>NOT(ISERROR(SEARCH("Fully Achieved",G70)))</formula>
    </cfRule>
    <cfRule type="containsText" dxfId="2656" priority="2931" operator="containsText" text="Not yet due">
      <formula>NOT(ISERROR(SEARCH("Not yet due",G70)))</formula>
    </cfRule>
    <cfRule type="containsText" dxfId="2655" priority="2932" operator="containsText" text="Not Yet Due">
      <formula>NOT(ISERROR(SEARCH("Not Yet Due",G70)))</formula>
    </cfRule>
    <cfRule type="containsText" dxfId="2654" priority="2933" operator="containsText" text="Deferred">
      <formula>NOT(ISERROR(SEARCH("Deferred",G70)))</formula>
    </cfRule>
    <cfRule type="containsText" dxfId="2653" priority="2934" operator="containsText" text="Deleted">
      <formula>NOT(ISERROR(SEARCH("Deleted",G70)))</formula>
    </cfRule>
    <cfRule type="containsText" dxfId="2652" priority="2935" operator="containsText" text="In Danger of Falling Behind Target">
      <formula>NOT(ISERROR(SEARCH("In Danger of Falling Behind Target",G70)))</formula>
    </cfRule>
    <cfRule type="containsText" dxfId="2651" priority="2936" operator="containsText" text="Not yet due">
      <formula>NOT(ISERROR(SEARCH("Not yet due",G70)))</formula>
    </cfRule>
    <cfRule type="containsText" dxfId="2650" priority="2937" operator="containsText" text="Completed Behind Schedule">
      <formula>NOT(ISERROR(SEARCH("Completed Behind Schedule",G70)))</formula>
    </cfRule>
    <cfRule type="containsText" dxfId="2649" priority="2938" operator="containsText" text="Off Target">
      <formula>NOT(ISERROR(SEARCH("Off Target",G70)))</formula>
    </cfRule>
    <cfRule type="containsText" dxfId="2648" priority="2939" operator="containsText" text="In Danger of Falling Behind Target">
      <formula>NOT(ISERROR(SEARCH("In Danger of Falling Behind Target",G70)))</formula>
    </cfRule>
    <cfRule type="containsText" dxfId="2647" priority="2940" operator="containsText" text="On Track to be Achieved">
      <formula>NOT(ISERROR(SEARCH("On Track to be Achieved",G70)))</formula>
    </cfRule>
    <cfRule type="containsText" dxfId="2646" priority="2941" operator="containsText" text="Fully Achieved">
      <formula>NOT(ISERROR(SEARCH("Fully Achieved",G70)))</formula>
    </cfRule>
    <cfRule type="containsText" dxfId="2645" priority="2942" operator="containsText" text="Update not Provided">
      <formula>NOT(ISERROR(SEARCH("Update not Provided",G70)))</formula>
    </cfRule>
    <cfRule type="containsText" dxfId="2644" priority="2943" operator="containsText" text="Not yet due">
      <formula>NOT(ISERROR(SEARCH("Not yet due",G70)))</formula>
    </cfRule>
    <cfRule type="containsText" dxfId="2643" priority="2944" operator="containsText" text="Completed Behind Schedule">
      <formula>NOT(ISERROR(SEARCH("Completed Behind Schedule",G70)))</formula>
    </cfRule>
    <cfRule type="containsText" dxfId="2642" priority="2945" operator="containsText" text="Off Target">
      <formula>NOT(ISERROR(SEARCH("Off Target",G70)))</formula>
    </cfRule>
    <cfRule type="containsText" dxfId="2641" priority="2946" operator="containsText" text="In Danger of Falling Behind Target">
      <formula>NOT(ISERROR(SEARCH("In Danger of Falling Behind Target",G70)))</formula>
    </cfRule>
    <cfRule type="containsText" dxfId="2640" priority="2947" operator="containsText" text="On Track to be Achieved">
      <formula>NOT(ISERROR(SEARCH("On Track to be Achieved",G70)))</formula>
    </cfRule>
    <cfRule type="containsText" dxfId="2639" priority="2948" operator="containsText" text="Fully Achieved">
      <formula>NOT(ISERROR(SEARCH("Fully Achieved",G70)))</formula>
    </cfRule>
    <cfRule type="containsText" dxfId="2638" priority="2949" operator="containsText" text="Fully Achieved">
      <formula>NOT(ISERROR(SEARCH("Fully Achieved",G70)))</formula>
    </cfRule>
    <cfRule type="containsText" dxfId="2637" priority="2950" operator="containsText" text="Fully Achieved">
      <formula>NOT(ISERROR(SEARCH("Fully Achieved",G70)))</formula>
    </cfRule>
    <cfRule type="containsText" dxfId="2636" priority="2951" operator="containsText" text="Deferred">
      <formula>NOT(ISERROR(SEARCH("Deferred",G70)))</formula>
    </cfRule>
    <cfRule type="containsText" dxfId="2635" priority="2952" operator="containsText" text="Deleted">
      <formula>NOT(ISERROR(SEARCH("Deleted",G70)))</formula>
    </cfRule>
    <cfRule type="containsText" dxfId="2634" priority="2953" operator="containsText" text="In Danger of Falling Behind Target">
      <formula>NOT(ISERROR(SEARCH("In Danger of Falling Behind Target",G70)))</formula>
    </cfRule>
    <cfRule type="containsText" dxfId="2633" priority="2954" operator="containsText" text="Not yet due">
      <formula>NOT(ISERROR(SEARCH("Not yet due",G70)))</formula>
    </cfRule>
    <cfRule type="containsText" dxfId="2632" priority="2955" operator="containsText" text="Update not Provided">
      <formula>NOT(ISERROR(SEARCH("Update not Provided",G70)))</formula>
    </cfRule>
  </conditionalFormatting>
  <conditionalFormatting sqref="G72:G73">
    <cfRule type="containsText" dxfId="2631" priority="2884" operator="containsText" text="On track to be achieved">
      <formula>NOT(ISERROR(SEARCH("On track to be achieved",G72)))</formula>
    </cfRule>
    <cfRule type="containsText" dxfId="2630" priority="2885" operator="containsText" text="Deferred">
      <formula>NOT(ISERROR(SEARCH("Deferred",G72)))</formula>
    </cfRule>
    <cfRule type="containsText" dxfId="2629" priority="2886" operator="containsText" text="Deleted">
      <formula>NOT(ISERROR(SEARCH("Deleted",G72)))</formula>
    </cfRule>
    <cfRule type="containsText" dxfId="2628" priority="2887" operator="containsText" text="In Danger of Falling Behind Target">
      <formula>NOT(ISERROR(SEARCH("In Danger of Falling Behind Target",G72)))</formula>
    </cfRule>
    <cfRule type="containsText" dxfId="2627" priority="2888" operator="containsText" text="Not yet due">
      <formula>NOT(ISERROR(SEARCH("Not yet due",G72)))</formula>
    </cfRule>
    <cfRule type="containsText" dxfId="2626" priority="2889" operator="containsText" text="Update not Provided">
      <formula>NOT(ISERROR(SEARCH("Update not Provided",G72)))</formula>
    </cfRule>
    <cfRule type="containsText" dxfId="2625" priority="2890" operator="containsText" text="Not yet due">
      <formula>NOT(ISERROR(SEARCH("Not yet due",G72)))</formula>
    </cfRule>
    <cfRule type="containsText" dxfId="2624" priority="2891" operator="containsText" text="Completed Behind Schedule">
      <formula>NOT(ISERROR(SEARCH("Completed Behind Schedule",G72)))</formula>
    </cfRule>
    <cfRule type="containsText" dxfId="2623" priority="2892" operator="containsText" text="Off Target">
      <formula>NOT(ISERROR(SEARCH("Off Target",G72)))</formula>
    </cfRule>
    <cfRule type="containsText" dxfId="2622" priority="2893" operator="containsText" text="On Track to be Achieved">
      <formula>NOT(ISERROR(SEARCH("On Track to be Achieved",G72)))</formula>
    </cfRule>
    <cfRule type="containsText" dxfId="2621" priority="2894" operator="containsText" text="Fully Achieved">
      <formula>NOT(ISERROR(SEARCH("Fully Achieved",G72)))</formula>
    </cfRule>
    <cfRule type="containsText" dxfId="2620" priority="2895" operator="containsText" text="Not yet due">
      <formula>NOT(ISERROR(SEARCH("Not yet due",G72)))</formula>
    </cfRule>
    <cfRule type="containsText" dxfId="2619" priority="2896" operator="containsText" text="Not Yet Due">
      <formula>NOT(ISERROR(SEARCH("Not Yet Due",G72)))</formula>
    </cfRule>
    <cfRule type="containsText" dxfId="2618" priority="2897" operator="containsText" text="Deferred">
      <formula>NOT(ISERROR(SEARCH("Deferred",G72)))</formula>
    </cfRule>
    <cfRule type="containsText" dxfId="2617" priority="2898" operator="containsText" text="Deleted">
      <formula>NOT(ISERROR(SEARCH("Deleted",G72)))</formula>
    </cfRule>
    <cfRule type="containsText" dxfId="2616" priority="2899" operator="containsText" text="In Danger of Falling Behind Target">
      <formula>NOT(ISERROR(SEARCH("In Danger of Falling Behind Target",G72)))</formula>
    </cfRule>
    <cfRule type="containsText" dxfId="2615" priority="2900" operator="containsText" text="Not yet due">
      <formula>NOT(ISERROR(SEARCH("Not yet due",G72)))</formula>
    </cfRule>
    <cfRule type="containsText" dxfId="2614" priority="2901" operator="containsText" text="Completed Behind Schedule">
      <formula>NOT(ISERROR(SEARCH("Completed Behind Schedule",G72)))</formula>
    </cfRule>
    <cfRule type="containsText" dxfId="2613" priority="2902" operator="containsText" text="Off Target">
      <formula>NOT(ISERROR(SEARCH("Off Target",G72)))</formula>
    </cfRule>
    <cfRule type="containsText" dxfId="2612" priority="2903" operator="containsText" text="In Danger of Falling Behind Target">
      <formula>NOT(ISERROR(SEARCH("In Danger of Falling Behind Target",G72)))</formula>
    </cfRule>
    <cfRule type="containsText" dxfId="2611" priority="2904" operator="containsText" text="On Track to be Achieved">
      <formula>NOT(ISERROR(SEARCH("On Track to be Achieved",G72)))</formula>
    </cfRule>
    <cfRule type="containsText" dxfId="2610" priority="2905" operator="containsText" text="Fully Achieved">
      <formula>NOT(ISERROR(SEARCH("Fully Achieved",G72)))</formula>
    </cfRule>
    <cfRule type="containsText" dxfId="2609" priority="2906" operator="containsText" text="Update not Provided">
      <formula>NOT(ISERROR(SEARCH("Update not Provided",G72)))</formula>
    </cfRule>
    <cfRule type="containsText" dxfId="2608" priority="2907" operator="containsText" text="Not yet due">
      <formula>NOT(ISERROR(SEARCH("Not yet due",G72)))</formula>
    </cfRule>
    <cfRule type="containsText" dxfId="2607" priority="2908" operator="containsText" text="Completed Behind Schedule">
      <formula>NOT(ISERROR(SEARCH("Completed Behind Schedule",G72)))</formula>
    </cfRule>
    <cfRule type="containsText" dxfId="2606" priority="2909" operator="containsText" text="Off Target">
      <formula>NOT(ISERROR(SEARCH("Off Target",G72)))</formula>
    </cfRule>
    <cfRule type="containsText" dxfId="2605" priority="2910" operator="containsText" text="In Danger of Falling Behind Target">
      <formula>NOT(ISERROR(SEARCH("In Danger of Falling Behind Target",G72)))</formula>
    </cfRule>
    <cfRule type="containsText" dxfId="2604" priority="2911" operator="containsText" text="On Track to be Achieved">
      <formula>NOT(ISERROR(SEARCH("On Track to be Achieved",G72)))</formula>
    </cfRule>
    <cfRule type="containsText" dxfId="2603" priority="2912" operator="containsText" text="Fully Achieved">
      <formula>NOT(ISERROR(SEARCH("Fully Achieved",G72)))</formula>
    </cfRule>
    <cfRule type="containsText" dxfId="2602" priority="2913" operator="containsText" text="Fully Achieved">
      <formula>NOT(ISERROR(SEARCH("Fully Achieved",G72)))</formula>
    </cfRule>
    <cfRule type="containsText" dxfId="2601" priority="2914" operator="containsText" text="Fully Achieved">
      <formula>NOT(ISERROR(SEARCH("Fully Achieved",G72)))</formula>
    </cfRule>
    <cfRule type="containsText" dxfId="2600" priority="2915" operator="containsText" text="Deferred">
      <formula>NOT(ISERROR(SEARCH("Deferred",G72)))</formula>
    </cfRule>
    <cfRule type="containsText" dxfId="2599" priority="2916" operator="containsText" text="Deleted">
      <formula>NOT(ISERROR(SEARCH("Deleted",G72)))</formula>
    </cfRule>
    <cfRule type="containsText" dxfId="2598" priority="2917" operator="containsText" text="In Danger of Falling Behind Target">
      <formula>NOT(ISERROR(SEARCH("In Danger of Falling Behind Target",G72)))</formula>
    </cfRule>
    <cfRule type="containsText" dxfId="2597" priority="2918" operator="containsText" text="Not yet due">
      <formula>NOT(ISERROR(SEARCH("Not yet due",G72)))</formula>
    </cfRule>
    <cfRule type="containsText" dxfId="2596" priority="2919" operator="containsText" text="Update not Provided">
      <formula>NOT(ISERROR(SEARCH("Update not Provided",G72)))</formula>
    </cfRule>
  </conditionalFormatting>
  <conditionalFormatting sqref="G74">
    <cfRule type="containsText" dxfId="2595" priority="2848" operator="containsText" text="On track to be achieved">
      <formula>NOT(ISERROR(SEARCH("On track to be achieved",G74)))</formula>
    </cfRule>
    <cfRule type="containsText" dxfId="2594" priority="2849" operator="containsText" text="Deferred">
      <formula>NOT(ISERROR(SEARCH("Deferred",G74)))</formula>
    </cfRule>
    <cfRule type="containsText" dxfId="2593" priority="2850" operator="containsText" text="Deleted">
      <formula>NOT(ISERROR(SEARCH("Deleted",G74)))</formula>
    </cfRule>
    <cfRule type="containsText" dxfId="2592" priority="2851" operator="containsText" text="In Danger of Falling Behind Target">
      <formula>NOT(ISERROR(SEARCH("In Danger of Falling Behind Target",G74)))</formula>
    </cfRule>
    <cfRule type="containsText" dxfId="2591" priority="2852" operator="containsText" text="Not yet due">
      <formula>NOT(ISERROR(SEARCH("Not yet due",G74)))</formula>
    </cfRule>
    <cfRule type="containsText" dxfId="2590" priority="2853" operator="containsText" text="Update not Provided">
      <formula>NOT(ISERROR(SEARCH("Update not Provided",G74)))</formula>
    </cfRule>
    <cfRule type="containsText" dxfId="2589" priority="2854" operator="containsText" text="Not yet due">
      <formula>NOT(ISERROR(SEARCH("Not yet due",G74)))</formula>
    </cfRule>
    <cfRule type="containsText" dxfId="2588" priority="2855" operator="containsText" text="Completed Behind Schedule">
      <formula>NOT(ISERROR(SEARCH("Completed Behind Schedule",G74)))</formula>
    </cfRule>
    <cfRule type="containsText" dxfId="2587" priority="2856" operator="containsText" text="Off Target">
      <formula>NOT(ISERROR(SEARCH("Off Target",G74)))</formula>
    </cfRule>
    <cfRule type="containsText" dxfId="2586" priority="2857" operator="containsText" text="On Track to be Achieved">
      <formula>NOT(ISERROR(SEARCH("On Track to be Achieved",G74)))</formula>
    </cfRule>
    <cfRule type="containsText" dxfId="2585" priority="2858" operator="containsText" text="Fully Achieved">
      <formula>NOT(ISERROR(SEARCH("Fully Achieved",G74)))</formula>
    </cfRule>
    <cfRule type="containsText" dxfId="2584" priority="2859" operator="containsText" text="Not yet due">
      <formula>NOT(ISERROR(SEARCH("Not yet due",G74)))</formula>
    </cfRule>
    <cfRule type="containsText" dxfId="2583" priority="2860" operator="containsText" text="Not Yet Due">
      <formula>NOT(ISERROR(SEARCH("Not Yet Due",G74)))</formula>
    </cfRule>
    <cfRule type="containsText" dxfId="2582" priority="2861" operator="containsText" text="Deferred">
      <formula>NOT(ISERROR(SEARCH("Deferred",G74)))</formula>
    </cfRule>
    <cfRule type="containsText" dxfId="2581" priority="2862" operator="containsText" text="Deleted">
      <formula>NOT(ISERROR(SEARCH("Deleted",G74)))</formula>
    </cfRule>
    <cfRule type="containsText" dxfId="2580" priority="2863" operator="containsText" text="In Danger of Falling Behind Target">
      <formula>NOT(ISERROR(SEARCH("In Danger of Falling Behind Target",G74)))</formula>
    </cfRule>
    <cfRule type="containsText" dxfId="2579" priority="2864" operator="containsText" text="Not yet due">
      <formula>NOT(ISERROR(SEARCH("Not yet due",G74)))</formula>
    </cfRule>
    <cfRule type="containsText" dxfId="2578" priority="2865" operator="containsText" text="Completed Behind Schedule">
      <formula>NOT(ISERROR(SEARCH("Completed Behind Schedule",G74)))</formula>
    </cfRule>
    <cfRule type="containsText" dxfId="2577" priority="2866" operator="containsText" text="Off Target">
      <formula>NOT(ISERROR(SEARCH("Off Target",G74)))</formula>
    </cfRule>
    <cfRule type="containsText" dxfId="2576" priority="2867" operator="containsText" text="In Danger of Falling Behind Target">
      <formula>NOT(ISERROR(SEARCH("In Danger of Falling Behind Target",G74)))</formula>
    </cfRule>
    <cfRule type="containsText" dxfId="2575" priority="2868" operator="containsText" text="On Track to be Achieved">
      <formula>NOT(ISERROR(SEARCH("On Track to be Achieved",G74)))</formula>
    </cfRule>
    <cfRule type="containsText" dxfId="2574" priority="2869" operator="containsText" text="Fully Achieved">
      <formula>NOT(ISERROR(SEARCH("Fully Achieved",G74)))</formula>
    </cfRule>
    <cfRule type="containsText" dxfId="2573" priority="2870" operator="containsText" text="Update not Provided">
      <formula>NOT(ISERROR(SEARCH("Update not Provided",G74)))</formula>
    </cfRule>
    <cfRule type="containsText" dxfId="2572" priority="2871" operator="containsText" text="Not yet due">
      <formula>NOT(ISERROR(SEARCH("Not yet due",G74)))</formula>
    </cfRule>
    <cfRule type="containsText" dxfId="2571" priority="2872" operator="containsText" text="Completed Behind Schedule">
      <formula>NOT(ISERROR(SEARCH("Completed Behind Schedule",G74)))</formula>
    </cfRule>
    <cfRule type="containsText" dxfId="2570" priority="2873" operator="containsText" text="Off Target">
      <formula>NOT(ISERROR(SEARCH("Off Target",G74)))</formula>
    </cfRule>
    <cfRule type="containsText" dxfId="2569" priority="2874" operator="containsText" text="In Danger of Falling Behind Target">
      <formula>NOT(ISERROR(SEARCH("In Danger of Falling Behind Target",G74)))</formula>
    </cfRule>
    <cfRule type="containsText" dxfId="2568" priority="2875" operator="containsText" text="On Track to be Achieved">
      <formula>NOT(ISERROR(SEARCH("On Track to be Achieved",G74)))</formula>
    </cfRule>
    <cfRule type="containsText" dxfId="2567" priority="2876" operator="containsText" text="Fully Achieved">
      <formula>NOT(ISERROR(SEARCH("Fully Achieved",G74)))</formula>
    </cfRule>
    <cfRule type="containsText" dxfId="2566" priority="2877" operator="containsText" text="Fully Achieved">
      <formula>NOT(ISERROR(SEARCH("Fully Achieved",G74)))</formula>
    </cfRule>
    <cfRule type="containsText" dxfId="2565" priority="2878" operator="containsText" text="Fully Achieved">
      <formula>NOT(ISERROR(SEARCH("Fully Achieved",G74)))</formula>
    </cfRule>
    <cfRule type="containsText" dxfId="2564" priority="2879" operator="containsText" text="Deferred">
      <formula>NOT(ISERROR(SEARCH("Deferred",G74)))</formula>
    </cfRule>
    <cfRule type="containsText" dxfId="2563" priority="2880" operator="containsText" text="Deleted">
      <formula>NOT(ISERROR(SEARCH("Deleted",G74)))</formula>
    </cfRule>
    <cfRule type="containsText" dxfId="2562" priority="2881" operator="containsText" text="In Danger of Falling Behind Target">
      <formula>NOT(ISERROR(SEARCH("In Danger of Falling Behind Target",G74)))</formula>
    </cfRule>
    <cfRule type="containsText" dxfId="2561" priority="2882" operator="containsText" text="Not yet due">
      <formula>NOT(ISERROR(SEARCH("Not yet due",G74)))</formula>
    </cfRule>
    <cfRule type="containsText" dxfId="2560" priority="2883" operator="containsText" text="Update not Provided">
      <formula>NOT(ISERROR(SEARCH("Update not Provided",G74)))</formula>
    </cfRule>
  </conditionalFormatting>
  <conditionalFormatting sqref="G74">
    <cfRule type="containsText" dxfId="2559" priority="2812" operator="containsText" text="On track to be achieved">
      <formula>NOT(ISERROR(SEARCH("On track to be achieved",G74)))</formula>
    </cfRule>
    <cfRule type="containsText" dxfId="2558" priority="2813" operator="containsText" text="Deferred">
      <formula>NOT(ISERROR(SEARCH("Deferred",G74)))</formula>
    </cfRule>
    <cfRule type="containsText" dxfId="2557" priority="2814" operator="containsText" text="Deleted">
      <formula>NOT(ISERROR(SEARCH("Deleted",G74)))</formula>
    </cfRule>
    <cfRule type="containsText" dxfId="2556" priority="2815" operator="containsText" text="In Danger of Falling Behind Target">
      <formula>NOT(ISERROR(SEARCH("In Danger of Falling Behind Target",G74)))</formula>
    </cfRule>
    <cfRule type="containsText" dxfId="2555" priority="2816" operator="containsText" text="Not yet due">
      <formula>NOT(ISERROR(SEARCH("Not yet due",G74)))</formula>
    </cfRule>
    <cfRule type="containsText" dxfId="2554" priority="2817" operator="containsText" text="Update not Provided">
      <formula>NOT(ISERROR(SEARCH("Update not Provided",G74)))</formula>
    </cfRule>
    <cfRule type="containsText" dxfId="2553" priority="2818" operator="containsText" text="Not yet due">
      <formula>NOT(ISERROR(SEARCH("Not yet due",G74)))</formula>
    </cfRule>
    <cfRule type="containsText" dxfId="2552" priority="2819" operator="containsText" text="Completed Behind Schedule">
      <formula>NOT(ISERROR(SEARCH("Completed Behind Schedule",G74)))</formula>
    </cfRule>
    <cfRule type="containsText" dxfId="2551" priority="2820" operator="containsText" text="Off Target">
      <formula>NOT(ISERROR(SEARCH("Off Target",G74)))</formula>
    </cfRule>
    <cfRule type="containsText" dxfId="2550" priority="2821" operator="containsText" text="On Track to be Achieved">
      <formula>NOT(ISERROR(SEARCH("On Track to be Achieved",G74)))</formula>
    </cfRule>
    <cfRule type="containsText" dxfId="2549" priority="2822" operator="containsText" text="Fully Achieved">
      <formula>NOT(ISERROR(SEARCH("Fully Achieved",G74)))</formula>
    </cfRule>
    <cfRule type="containsText" dxfId="2548" priority="2823" operator="containsText" text="Not yet due">
      <formula>NOT(ISERROR(SEARCH("Not yet due",G74)))</formula>
    </cfRule>
    <cfRule type="containsText" dxfId="2547" priority="2824" operator="containsText" text="Not Yet Due">
      <formula>NOT(ISERROR(SEARCH("Not Yet Due",G74)))</formula>
    </cfRule>
    <cfRule type="containsText" dxfId="2546" priority="2825" operator="containsText" text="Deferred">
      <formula>NOT(ISERROR(SEARCH("Deferred",G74)))</formula>
    </cfRule>
    <cfRule type="containsText" dxfId="2545" priority="2826" operator="containsText" text="Deleted">
      <formula>NOT(ISERROR(SEARCH("Deleted",G74)))</formula>
    </cfRule>
    <cfRule type="containsText" dxfId="2544" priority="2827" operator="containsText" text="In Danger of Falling Behind Target">
      <formula>NOT(ISERROR(SEARCH("In Danger of Falling Behind Target",G74)))</formula>
    </cfRule>
    <cfRule type="containsText" dxfId="2543" priority="2828" operator="containsText" text="Not yet due">
      <formula>NOT(ISERROR(SEARCH("Not yet due",G74)))</formula>
    </cfRule>
    <cfRule type="containsText" dxfId="2542" priority="2829" operator="containsText" text="Completed Behind Schedule">
      <formula>NOT(ISERROR(SEARCH("Completed Behind Schedule",G74)))</formula>
    </cfRule>
    <cfRule type="containsText" dxfId="2541" priority="2830" operator="containsText" text="Off Target">
      <formula>NOT(ISERROR(SEARCH("Off Target",G74)))</formula>
    </cfRule>
    <cfRule type="containsText" dxfId="2540" priority="2831" operator="containsText" text="In Danger of Falling Behind Target">
      <formula>NOT(ISERROR(SEARCH("In Danger of Falling Behind Target",G74)))</formula>
    </cfRule>
    <cfRule type="containsText" dxfId="2539" priority="2832" operator="containsText" text="On Track to be Achieved">
      <formula>NOT(ISERROR(SEARCH("On Track to be Achieved",G74)))</formula>
    </cfRule>
    <cfRule type="containsText" dxfId="2538" priority="2833" operator="containsText" text="Fully Achieved">
      <formula>NOT(ISERROR(SEARCH("Fully Achieved",G74)))</formula>
    </cfRule>
    <cfRule type="containsText" dxfId="2537" priority="2834" operator="containsText" text="Update not Provided">
      <formula>NOT(ISERROR(SEARCH("Update not Provided",G74)))</formula>
    </cfRule>
    <cfRule type="containsText" dxfId="2536" priority="2835" operator="containsText" text="Not yet due">
      <formula>NOT(ISERROR(SEARCH("Not yet due",G74)))</formula>
    </cfRule>
    <cfRule type="containsText" dxfId="2535" priority="2836" operator="containsText" text="Completed Behind Schedule">
      <formula>NOT(ISERROR(SEARCH("Completed Behind Schedule",G74)))</formula>
    </cfRule>
    <cfRule type="containsText" dxfId="2534" priority="2837" operator="containsText" text="Off Target">
      <formula>NOT(ISERROR(SEARCH("Off Target",G74)))</formula>
    </cfRule>
    <cfRule type="containsText" dxfId="2533" priority="2838" operator="containsText" text="In Danger of Falling Behind Target">
      <formula>NOT(ISERROR(SEARCH("In Danger of Falling Behind Target",G74)))</formula>
    </cfRule>
    <cfRule type="containsText" dxfId="2532" priority="2839" operator="containsText" text="On Track to be Achieved">
      <formula>NOT(ISERROR(SEARCH("On Track to be Achieved",G74)))</formula>
    </cfRule>
    <cfRule type="containsText" dxfId="2531" priority="2840" operator="containsText" text="Fully Achieved">
      <formula>NOT(ISERROR(SEARCH("Fully Achieved",G74)))</formula>
    </cfRule>
    <cfRule type="containsText" dxfId="2530" priority="2841" operator="containsText" text="Fully Achieved">
      <formula>NOT(ISERROR(SEARCH("Fully Achieved",G74)))</formula>
    </cfRule>
    <cfRule type="containsText" dxfId="2529" priority="2842" operator="containsText" text="Fully Achieved">
      <formula>NOT(ISERROR(SEARCH("Fully Achieved",G74)))</formula>
    </cfRule>
    <cfRule type="containsText" dxfId="2528" priority="2843" operator="containsText" text="Deferred">
      <formula>NOT(ISERROR(SEARCH("Deferred",G74)))</formula>
    </cfRule>
    <cfRule type="containsText" dxfId="2527" priority="2844" operator="containsText" text="Deleted">
      <formula>NOT(ISERROR(SEARCH("Deleted",G74)))</formula>
    </cfRule>
    <cfRule type="containsText" dxfId="2526" priority="2845" operator="containsText" text="In Danger of Falling Behind Target">
      <formula>NOT(ISERROR(SEARCH("In Danger of Falling Behind Target",G74)))</formula>
    </cfRule>
    <cfRule type="containsText" dxfId="2525" priority="2846" operator="containsText" text="Not yet due">
      <formula>NOT(ISERROR(SEARCH("Not yet due",G74)))</formula>
    </cfRule>
    <cfRule type="containsText" dxfId="2524" priority="2847" operator="containsText" text="Update not Provided">
      <formula>NOT(ISERROR(SEARCH("Update not Provided",G74)))</formula>
    </cfRule>
  </conditionalFormatting>
  <conditionalFormatting sqref="G75:G77">
    <cfRule type="containsText" dxfId="2523" priority="2776" operator="containsText" text="On track to be achieved">
      <formula>NOT(ISERROR(SEARCH("On track to be achieved",G75)))</formula>
    </cfRule>
    <cfRule type="containsText" dxfId="2522" priority="2777" operator="containsText" text="Deferred">
      <formula>NOT(ISERROR(SEARCH("Deferred",G75)))</formula>
    </cfRule>
    <cfRule type="containsText" dxfId="2521" priority="2778" operator="containsText" text="Deleted">
      <formula>NOT(ISERROR(SEARCH("Deleted",G75)))</formula>
    </cfRule>
    <cfRule type="containsText" dxfId="2520" priority="2779" operator="containsText" text="In Danger of Falling Behind Target">
      <formula>NOT(ISERROR(SEARCH("In Danger of Falling Behind Target",G75)))</formula>
    </cfRule>
    <cfRule type="containsText" dxfId="2519" priority="2780" operator="containsText" text="Not yet due">
      <formula>NOT(ISERROR(SEARCH("Not yet due",G75)))</formula>
    </cfRule>
    <cfRule type="containsText" dxfId="2518" priority="2781" operator="containsText" text="Update not Provided">
      <formula>NOT(ISERROR(SEARCH("Update not Provided",G75)))</formula>
    </cfRule>
    <cfRule type="containsText" dxfId="2517" priority="2782" operator="containsText" text="Not yet due">
      <formula>NOT(ISERROR(SEARCH("Not yet due",G75)))</formula>
    </cfRule>
    <cfRule type="containsText" dxfId="2516" priority="2783" operator="containsText" text="Completed Behind Schedule">
      <formula>NOT(ISERROR(SEARCH("Completed Behind Schedule",G75)))</formula>
    </cfRule>
    <cfRule type="containsText" dxfId="2515" priority="2784" operator="containsText" text="Off Target">
      <formula>NOT(ISERROR(SEARCH("Off Target",G75)))</formula>
    </cfRule>
    <cfRule type="containsText" dxfId="2514" priority="2785" operator="containsText" text="On Track to be Achieved">
      <formula>NOT(ISERROR(SEARCH("On Track to be Achieved",G75)))</formula>
    </cfRule>
    <cfRule type="containsText" dxfId="2513" priority="2786" operator="containsText" text="Fully Achieved">
      <formula>NOT(ISERROR(SEARCH("Fully Achieved",G75)))</formula>
    </cfRule>
    <cfRule type="containsText" dxfId="2512" priority="2787" operator="containsText" text="Not yet due">
      <formula>NOT(ISERROR(SEARCH("Not yet due",G75)))</formula>
    </cfRule>
    <cfRule type="containsText" dxfId="2511" priority="2788" operator="containsText" text="Not Yet Due">
      <formula>NOT(ISERROR(SEARCH("Not Yet Due",G75)))</formula>
    </cfRule>
    <cfRule type="containsText" dxfId="2510" priority="2789" operator="containsText" text="Deferred">
      <formula>NOT(ISERROR(SEARCH("Deferred",G75)))</formula>
    </cfRule>
    <cfRule type="containsText" dxfId="2509" priority="2790" operator="containsText" text="Deleted">
      <formula>NOT(ISERROR(SEARCH("Deleted",G75)))</formula>
    </cfRule>
    <cfRule type="containsText" dxfId="2508" priority="2791" operator="containsText" text="In Danger of Falling Behind Target">
      <formula>NOT(ISERROR(SEARCH("In Danger of Falling Behind Target",G75)))</formula>
    </cfRule>
    <cfRule type="containsText" dxfId="2507" priority="2792" operator="containsText" text="Not yet due">
      <formula>NOT(ISERROR(SEARCH("Not yet due",G75)))</formula>
    </cfRule>
    <cfRule type="containsText" dxfId="2506" priority="2793" operator="containsText" text="Completed Behind Schedule">
      <formula>NOT(ISERROR(SEARCH("Completed Behind Schedule",G75)))</formula>
    </cfRule>
    <cfRule type="containsText" dxfId="2505" priority="2794" operator="containsText" text="Off Target">
      <formula>NOT(ISERROR(SEARCH("Off Target",G75)))</formula>
    </cfRule>
    <cfRule type="containsText" dxfId="2504" priority="2795" operator="containsText" text="In Danger of Falling Behind Target">
      <formula>NOT(ISERROR(SEARCH("In Danger of Falling Behind Target",G75)))</formula>
    </cfRule>
    <cfRule type="containsText" dxfId="2503" priority="2796" operator="containsText" text="On Track to be Achieved">
      <formula>NOT(ISERROR(SEARCH("On Track to be Achieved",G75)))</formula>
    </cfRule>
    <cfRule type="containsText" dxfId="2502" priority="2797" operator="containsText" text="Fully Achieved">
      <formula>NOT(ISERROR(SEARCH("Fully Achieved",G75)))</formula>
    </cfRule>
    <cfRule type="containsText" dxfId="2501" priority="2798" operator="containsText" text="Update not Provided">
      <formula>NOT(ISERROR(SEARCH("Update not Provided",G75)))</formula>
    </cfRule>
    <cfRule type="containsText" dxfId="2500" priority="2799" operator="containsText" text="Not yet due">
      <formula>NOT(ISERROR(SEARCH("Not yet due",G75)))</formula>
    </cfRule>
    <cfRule type="containsText" dxfId="2499" priority="2800" operator="containsText" text="Completed Behind Schedule">
      <formula>NOT(ISERROR(SEARCH("Completed Behind Schedule",G75)))</formula>
    </cfRule>
    <cfRule type="containsText" dxfId="2498" priority="2801" operator="containsText" text="Off Target">
      <formula>NOT(ISERROR(SEARCH("Off Target",G75)))</formula>
    </cfRule>
    <cfRule type="containsText" dxfId="2497" priority="2802" operator="containsText" text="In Danger of Falling Behind Target">
      <formula>NOT(ISERROR(SEARCH("In Danger of Falling Behind Target",G75)))</formula>
    </cfRule>
    <cfRule type="containsText" dxfId="2496" priority="2803" operator="containsText" text="On Track to be Achieved">
      <formula>NOT(ISERROR(SEARCH("On Track to be Achieved",G75)))</formula>
    </cfRule>
    <cfRule type="containsText" dxfId="2495" priority="2804" operator="containsText" text="Fully Achieved">
      <formula>NOT(ISERROR(SEARCH("Fully Achieved",G75)))</formula>
    </cfRule>
    <cfRule type="containsText" dxfId="2494" priority="2805" operator="containsText" text="Fully Achieved">
      <formula>NOT(ISERROR(SEARCH("Fully Achieved",G75)))</formula>
    </cfRule>
    <cfRule type="containsText" dxfId="2493" priority="2806" operator="containsText" text="Fully Achieved">
      <formula>NOT(ISERROR(SEARCH("Fully Achieved",G75)))</formula>
    </cfRule>
    <cfRule type="containsText" dxfId="2492" priority="2807" operator="containsText" text="Deferred">
      <formula>NOT(ISERROR(SEARCH("Deferred",G75)))</formula>
    </cfRule>
    <cfRule type="containsText" dxfId="2491" priority="2808" operator="containsText" text="Deleted">
      <formula>NOT(ISERROR(SEARCH("Deleted",G75)))</formula>
    </cfRule>
    <cfRule type="containsText" dxfId="2490" priority="2809" operator="containsText" text="In Danger of Falling Behind Target">
      <formula>NOT(ISERROR(SEARCH("In Danger of Falling Behind Target",G75)))</formula>
    </cfRule>
    <cfRule type="containsText" dxfId="2489" priority="2810" operator="containsText" text="Not yet due">
      <formula>NOT(ISERROR(SEARCH("Not yet due",G75)))</formula>
    </cfRule>
    <cfRule type="containsText" dxfId="2488" priority="2811" operator="containsText" text="Update not Provided">
      <formula>NOT(ISERROR(SEARCH("Update not Provided",G75)))</formula>
    </cfRule>
  </conditionalFormatting>
  <conditionalFormatting sqref="G79:G82">
    <cfRule type="containsText" dxfId="2487" priority="2740" operator="containsText" text="On track to be achieved">
      <formula>NOT(ISERROR(SEARCH("On track to be achieved",G79)))</formula>
    </cfRule>
    <cfRule type="containsText" dxfId="2486" priority="2741" operator="containsText" text="Deferred">
      <formula>NOT(ISERROR(SEARCH("Deferred",G79)))</formula>
    </cfRule>
    <cfRule type="containsText" dxfId="2485" priority="2742" operator="containsText" text="Deleted">
      <formula>NOT(ISERROR(SEARCH("Deleted",G79)))</formula>
    </cfRule>
    <cfRule type="containsText" dxfId="2484" priority="2743" operator="containsText" text="In Danger of Falling Behind Target">
      <formula>NOT(ISERROR(SEARCH("In Danger of Falling Behind Target",G79)))</formula>
    </cfRule>
    <cfRule type="containsText" dxfId="2483" priority="2744" operator="containsText" text="Not yet due">
      <formula>NOT(ISERROR(SEARCH("Not yet due",G79)))</formula>
    </cfRule>
    <cfRule type="containsText" dxfId="2482" priority="2745" operator="containsText" text="Update not Provided">
      <formula>NOT(ISERROR(SEARCH("Update not Provided",G79)))</formula>
    </cfRule>
    <cfRule type="containsText" dxfId="2481" priority="2746" operator="containsText" text="Not yet due">
      <formula>NOT(ISERROR(SEARCH("Not yet due",G79)))</formula>
    </cfRule>
    <cfRule type="containsText" dxfId="2480" priority="2747" operator="containsText" text="Completed Behind Schedule">
      <formula>NOT(ISERROR(SEARCH("Completed Behind Schedule",G79)))</formula>
    </cfRule>
    <cfRule type="containsText" dxfId="2479" priority="2748" operator="containsText" text="Off Target">
      <formula>NOT(ISERROR(SEARCH("Off Target",G79)))</formula>
    </cfRule>
    <cfRule type="containsText" dxfId="2478" priority="2749" operator="containsText" text="On Track to be Achieved">
      <formula>NOT(ISERROR(SEARCH("On Track to be Achieved",G79)))</formula>
    </cfRule>
    <cfRule type="containsText" dxfId="2477" priority="2750" operator="containsText" text="Fully Achieved">
      <formula>NOT(ISERROR(SEARCH("Fully Achieved",G79)))</formula>
    </cfRule>
    <cfRule type="containsText" dxfId="2476" priority="2751" operator="containsText" text="Not yet due">
      <formula>NOT(ISERROR(SEARCH("Not yet due",G79)))</formula>
    </cfRule>
    <cfRule type="containsText" dxfId="2475" priority="2752" operator="containsText" text="Not Yet Due">
      <formula>NOT(ISERROR(SEARCH("Not Yet Due",G79)))</formula>
    </cfRule>
    <cfRule type="containsText" dxfId="2474" priority="2753" operator="containsText" text="Deferred">
      <formula>NOT(ISERROR(SEARCH("Deferred",G79)))</formula>
    </cfRule>
    <cfRule type="containsText" dxfId="2473" priority="2754" operator="containsText" text="Deleted">
      <formula>NOT(ISERROR(SEARCH("Deleted",G79)))</formula>
    </cfRule>
    <cfRule type="containsText" dxfId="2472" priority="2755" operator="containsText" text="In Danger of Falling Behind Target">
      <formula>NOT(ISERROR(SEARCH("In Danger of Falling Behind Target",G79)))</formula>
    </cfRule>
    <cfRule type="containsText" dxfId="2471" priority="2756" operator="containsText" text="Not yet due">
      <formula>NOT(ISERROR(SEARCH("Not yet due",G79)))</formula>
    </cfRule>
    <cfRule type="containsText" dxfId="2470" priority="2757" operator="containsText" text="Completed Behind Schedule">
      <formula>NOT(ISERROR(SEARCH("Completed Behind Schedule",G79)))</formula>
    </cfRule>
    <cfRule type="containsText" dxfId="2469" priority="2758" operator="containsText" text="Off Target">
      <formula>NOT(ISERROR(SEARCH("Off Target",G79)))</formula>
    </cfRule>
    <cfRule type="containsText" dxfId="2468" priority="2759" operator="containsText" text="In Danger of Falling Behind Target">
      <formula>NOT(ISERROR(SEARCH("In Danger of Falling Behind Target",G79)))</formula>
    </cfRule>
    <cfRule type="containsText" dxfId="2467" priority="2760" operator="containsText" text="On Track to be Achieved">
      <formula>NOT(ISERROR(SEARCH("On Track to be Achieved",G79)))</formula>
    </cfRule>
    <cfRule type="containsText" dxfId="2466" priority="2761" operator="containsText" text="Fully Achieved">
      <formula>NOT(ISERROR(SEARCH("Fully Achieved",G79)))</formula>
    </cfRule>
    <cfRule type="containsText" dxfId="2465" priority="2762" operator="containsText" text="Update not Provided">
      <formula>NOT(ISERROR(SEARCH("Update not Provided",G79)))</formula>
    </cfRule>
    <cfRule type="containsText" dxfId="2464" priority="2763" operator="containsText" text="Not yet due">
      <formula>NOT(ISERROR(SEARCH("Not yet due",G79)))</formula>
    </cfRule>
    <cfRule type="containsText" dxfId="2463" priority="2764" operator="containsText" text="Completed Behind Schedule">
      <formula>NOT(ISERROR(SEARCH("Completed Behind Schedule",G79)))</formula>
    </cfRule>
    <cfRule type="containsText" dxfId="2462" priority="2765" operator="containsText" text="Off Target">
      <formula>NOT(ISERROR(SEARCH("Off Target",G79)))</formula>
    </cfRule>
    <cfRule type="containsText" dxfId="2461" priority="2766" operator="containsText" text="In Danger of Falling Behind Target">
      <formula>NOT(ISERROR(SEARCH("In Danger of Falling Behind Target",G79)))</formula>
    </cfRule>
    <cfRule type="containsText" dxfId="2460" priority="2767" operator="containsText" text="On Track to be Achieved">
      <formula>NOT(ISERROR(SEARCH("On Track to be Achieved",G79)))</formula>
    </cfRule>
    <cfRule type="containsText" dxfId="2459" priority="2768" operator="containsText" text="Fully Achieved">
      <formula>NOT(ISERROR(SEARCH("Fully Achieved",G79)))</formula>
    </cfRule>
    <cfRule type="containsText" dxfId="2458" priority="2769" operator="containsText" text="Fully Achieved">
      <formula>NOT(ISERROR(SEARCH("Fully Achieved",G79)))</formula>
    </cfRule>
    <cfRule type="containsText" dxfId="2457" priority="2770" operator="containsText" text="Fully Achieved">
      <formula>NOT(ISERROR(SEARCH("Fully Achieved",G79)))</formula>
    </cfRule>
    <cfRule type="containsText" dxfId="2456" priority="2771" operator="containsText" text="Deferred">
      <formula>NOT(ISERROR(SEARCH("Deferred",G79)))</formula>
    </cfRule>
    <cfRule type="containsText" dxfId="2455" priority="2772" operator="containsText" text="Deleted">
      <formula>NOT(ISERROR(SEARCH("Deleted",G79)))</formula>
    </cfRule>
    <cfRule type="containsText" dxfId="2454" priority="2773" operator="containsText" text="In Danger of Falling Behind Target">
      <formula>NOT(ISERROR(SEARCH("In Danger of Falling Behind Target",G79)))</formula>
    </cfRule>
    <cfRule type="containsText" dxfId="2453" priority="2774" operator="containsText" text="Not yet due">
      <formula>NOT(ISERROR(SEARCH("Not yet due",G79)))</formula>
    </cfRule>
    <cfRule type="containsText" dxfId="2452" priority="2775" operator="containsText" text="Update not Provided">
      <formula>NOT(ISERROR(SEARCH("Update not Provided",G79)))</formula>
    </cfRule>
  </conditionalFormatting>
  <conditionalFormatting sqref="G84:G85">
    <cfRule type="containsText" dxfId="2451" priority="2704" operator="containsText" text="On track to be achieved">
      <formula>NOT(ISERROR(SEARCH("On track to be achieved",G84)))</formula>
    </cfRule>
    <cfRule type="containsText" dxfId="2450" priority="2705" operator="containsText" text="Deferred">
      <formula>NOT(ISERROR(SEARCH("Deferred",G84)))</formula>
    </cfRule>
    <cfRule type="containsText" dxfId="2449" priority="2706" operator="containsText" text="Deleted">
      <formula>NOT(ISERROR(SEARCH("Deleted",G84)))</formula>
    </cfRule>
    <cfRule type="containsText" dxfId="2448" priority="2707" operator="containsText" text="In Danger of Falling Behind Target">
      <formula>NOT(ISERROR(SEARCH("In Danger of Falling Behind Target",G84)))</formula>
    </cfRule>
    <cfRule type="containsText" dxfId="2447" priority="2708" operator="containsText" text="Not yet due">
      <formula>NOT(ISERROR(SEARCH("Not yet due",G84)))</formula>
    </cfRule>
    <cfRule type="containsText" dxfId="2446" priority="2709" operator="containsText" text="Update not Provided">
      <formula>NOT(ISERROR(SEARCH("Update not Provided",G84)))</formula>
    </cfRule>
    <cfRule type="containsText" dxfId="2445" priority="2710" operator="containsText" text="Not yet due">
      <formula>NOT(ISERROR(SEARCH("Not yet due",G84)))</formula>
    </cfRule>
    <cfRule type="containsText" dxfId="2444" priority="2711" operator="containsText" text="Completed Behind Schedule">
      <formula>NOT(ISERROR(SEARCH("Completed Behind Schedule",G84)))</formula>
    </cfRule>
    <cfRule type="containsText" dxfId="2443" priority="2712" operator="containsText" text="Off Target">
      <formula>NOT(ISERROR(SEARCH("Off Target",G84)))</formula>
    </cfRule>
    <cfRule type="containsText" dxfId="2442" priority="2713" operator="containsText" text="On Track to be Achieved">
      <formula>NOT(ISERROR(SEARCH("On Track to be Achieved",G84)))</formula>
    </cfRule>
    <cfRule type="containsText" dxfId="2441" priority="2714" operator="containsText" text="Fully Achieved">
      <formula>NOT(ISERROR(SEARCH("Fully Achieved",G84)))</formula>
    </cfRule>
    <cfRule type="containsText" dxfId="2440" priority="2715" operator="containsText" text="Not yet due">
      <formula>NOT(ISERROR(SEARCH("Not yet due",G84)))</formula>
    </cfRule>
    <cfRule type="containsText" dxfId="2439" priority="2716" operator="containsText" text="Not Yet Due">
      <formula>NOT(ISERROR(SEARCH("Not Yet Due",G84)))</formula>
    </cfRule>
    <cfRule type="containsText" dxfId="2438" priority="2717" operator="containsText" text="Deferred">
      <formula>NOT(ISERROR(SEARCH("Deferred",G84)))</formula>
    </cfRule>
    <cfRule type="containsText" dxfId="2437" priority="2718" operator="containsText" text="Deleted">
      <formula>NOT(ISERROR(SEARCH("Deleted",G84)))</formula>
    </cfRule>
    <cfRule type="containsText" dxfId="2436" priority="2719" operator="containsText" text="In Danger of Falling Behind Target">
      <formula>NOT(ISERROR(SEARCH("In Danger of Falling Behind Target",G84)))</formula>
    </cfRule>
    <cfRule type="containsText" dxfId="2435" priority="2720" operator="containsText" text="Not yet due">
      <formula>NOT(ISERROR(SEARCH("Not yet due",G84)))</formula>
    </cfRule>
    <cfRule type="containsText" dxfId="2434" priority="2721" operator="containsText" text="Completed Behind Schedule">
      <formula>NOT(ISERROR(SEARCH("Completed Behind Schedule",G84)))</formula>
    </cfRule>
    <cfRule type="containsText" dxfId="2433" priority="2722" operator="containsText" text="Off Target">
      <formula>NOT(ISERROR(SEARCH("Off Target",G84)))</formula>
    </cfRule>
    <cfRule type="containsText" dxfId="2432" priority="2723" operator="containsText" text="In Danger of Falling Behind Target">
      <formula>NOT(ISERROR(SEARCH("In Danger of Falling Behind Target",G84)))</formula>
    </cfRule>
    <cfRule type="containsText" dxfId="2431" priority="2724" operator="containsText" text="On Track to be Achieved">
      <formula>NOT(ISERROR(SEARCH("On Track to be Achieved",G84)))</formula>
    </cfRule>
    <cfRule type="containsText" dxfId="2430" priority="2725" operator="containsText" text="Fully Achieved">
      <formula>NOT(ISERROR(SEARCH("Fully Achieved",G84)))</formula>
    </cfRule>
    <cfRule type="containsText" dxfId="2429" priority="2726" operator="containsText" text="Update not Provided">
      <formula>NOT(ISERROR(SEARCH("Update not Provided",G84)))</formula>
    </cfRule>
    <cfRule type="containsText" dxfId="2428" priority="2727" operator="containsText" text="Not yet due">
      <formula>NOT(ISERROR(SEARCH("Not yet due",G84)))</formula>
    </cfRule>
    <cfRule type="containsText" dxfId="2427" priority="2728" operator="containsText" text="Completed Behind Schedule">
      <formula>NOT(ISERROR(SEARCH("Completed Behind Schedule",G84)))</formula>
    </cfRule>
    <cfRule type="containsText" dxfId="2426" priority="2729" operator="containsText" text="Off Target">
      <formula>NOT(ISERROR(SEARCH("Off Target",G84)))</formula>
    </cfRule>
    <cfRule type="containsText" dxfId="2425" priority="2730" operator="containsText" text="In Danger of Falling Behind Target">
      <formula>NOT(ISERROR(SEARCH("In Danger of Falling Behind Target",G84)))</formula>
    </cfRule>
    <cfRule type="containsText" dxfId="2424" priority="2731" operator="containsText" text="On Track to be Achieved">
      <formula>NOT(ISERROR(SEARCH("On Track to be Achieved",G84)))</formula>
    </cfRule>
    <cfRule type="containsText" dxfId="2423" priority="2732" operator="containsText" text="Fully Achieved">
      <formula>NOT(ISERROR(SEARCH("Fully Achieved",G84)))</formula>
    </cfRule>
    <cfRule type="containsText" dxfId="2422" priority="2733" operator="containsText" text="Fully Achieved">
      <formula>NOT(ISERROR(SEARCH("Fully Achieved",G84)))</formula>
    </cfRule>
    <cfRule type="containsText" dxfId="2421" priority="2734" operator="containsText" text="Fully Achieved">
      <formula>NOT(ISERROR(SEARCH("Fully Achieved",G84)))</formula>
    </cfRule>
    <cfRule type="containsText" dxfId="2420" priority="2735" operator="containsText" text="Deferred">
      <formula>NOT(ISERROR(SEARCH("Deferred",G84)))</formula>
    </cfRule>
    <cfRule type="containsText" dxfId="2419" priority="2736" operator="containsText" text="Deleted">
      <formula>NOT(ISERROR(SEARCH("Deleted",G84)))</formula>
    </cfRule>
    <cfRule type="containsText" dxfId="2418" priority="2737" operator="containsText" text="In Danger of Falling Behind Target">
      <formula>NOT(ISERROR(SEARCH("In Danger of Falling Behind Target",G84)))</formula>
    </cfRule>
    <cfRule type="containsText" dxfId="2417" priority="2738" operator="containsText" text="Not yet due">
      <formula>NOT(ISERROR(SEARCH("Not yet due",G84)))</formula>
    </cfRule>
    <cfRule type="containsText" dxfId="2416" priority="2739" operator="containsText" text="Update not Provided">
      <formula>NOT(ISERROR(SEARCH("Update not Provided",G84)))</formula>
    </cfRule>
  </conditionalFormatting>
  <conditionalFormatting sqref="G86">
    <cfRule type="containsText" dxfId="2415" priority="2668" operator="containsText" text="On track to be achieved">
      <formula>NOT(ISERROR(SEARCH("On track to be achieved",G86)))</formula>
    </cfRule>
    <cfRule type="containsText" dxfId="2414" priority="2669" operator="containsText" text="Deferred">
      <formula>NOT(ISERROR(SEARCH("Deferred",G86)))</formula>
    </cfRule>
    <cfRule type="containsText" dxfId="2413" priority="2670" operator="containsText" text="Deleted">
      <formula>NOT(ISERROR(SEARCH("Deleted",G86)))</formula>
    </cfRule>
    <cfRule type="containsText" dxfId="2412" priority="2671" operator="containsText" text="In Danger of Falling Behind Target">
      <formula>NOT(ISERROR(SEARCH("In Danger of Falling Behind Target",G86)))</formula>
    </cfRule>
    <cfRule type="containsText" dxfId="2411" priority="2672" operator="containsText" text="Not yet due">
      <formula>NOT(ISERROR(SEARCH("Not yet due",G86)))</formula>
    </cfRule>
    <cfRule type="containsText" dxfId="2410" priority="2673" operator="containsText" text="Update not Provided">
      <formula>NOT(ISERROR(SEARCH("Update not Provided",G86)))</formula>
    </cfRule>
    <cfRule type="containsText" dxfId="2409" priority="2674" operator="containsText" text="Not yet due">
      <formula>NOT(ISERROR(SEARCH("Not yet due",G86)))</formula>
    </cfRule>
    <cfRule type="containsText" dxfId="2408" priority="2675" operator="containsText" text="Completed Behind Schedule">
      <formula>NOT(ISERROR(SEARCH("Completed Behind Schedule",G86)))</formula>
    </cfRule>
    <cfRule type="containsText" dxfId="2407" priority="2676" operator="containsText" text="Off Target">
      <formula>NOT(ISERROR(SEARCH("Off Target",G86)))</formula>
    </cfRule>
    <cfRule type="containsText" dxfId="2406" priority="2677" operator="containsText" text="On Track to be Achieved">
      <formula>NOT(ISERROR(SEARCH("On Track to be Achieved",G86)))</formula>
    </cfRule>
    <cfRule type="containsText" dxfId="2405" priority="2678" operator="containsText" text="Fully Achieved">
      <formula>NOT(ISERROR(SEARCH("Fully Achieved",G86)))</formula>
    </cfRule>
    <cfRule type="containsText" dxfId="2404" priority="2679" operator="containsText" text="Not yet due">
      <formula>NOT(ISERROR(SEARCH("Not yet due",G86)))</formula>
    </cfRule>
    <cfRule type="containsText" dxfId="2403" priority="2680" operator="containsText" text="Not Yet Due">
      <formula>NOT(ISERROR(SEARCH("Not Yet Due",G86)))</formula>
    </cfRule>
    <cfRule type="containsText" dxfId="2402" priority="2681" operator="containsText" text="Deferred">
      <formula>NOT(ISERROR(SEARCH("Deferred",G86)))</formula>
    </cfRule>
    <cfRule type="containsText" dxfId="2401" priority="2682" operator="containsText" text="Deleted">
      <formula>NOT(ISERROR(SEARCH("Deleted",G86)))</formula>
    </cfRule>
    <cfRule type="containsText" dxfId="2400" priority="2683" operator="containsText" text="In Danger of Falling Behind Target">
      <formula>NOT(ISERROR(SEARCH("In Danger of Falling Behind Target",G86)))</formula>
    </cfRule>
    <cfRule type="containsText" dxfId="2399" priority="2684" operator="containsText" text="Not yet due">
      <formula>NOT(ISERROR(SEARCH("Not yet due",G86)))</formula>
    </cfRule>
    <cfRule type="containsText" dxfId="2398" priority="2685" operator="containsText" text="Completed Behind Schedule">
      <formula>NOT(ISERROR(SEARCH("Completed Behind Schedule",G86)))</formula>
    </cfRule>
    <cfRule type="containsText" dxfId="2397" priority="2686" operator="containsText" text="Off Target">
      <formula>NOT(ISERROR(SEARCH("Off Target",G86)))</formula>
    </cfRule>
    <cfRule type="containsText" dxfId="2396" priority="2687" operator="containsText" text="In Danger of Falling Behind Target">
      <formula>NOT(ISERROR(SEARCH("In Danger of Falling Behind Target",G86)))</formula>
    </cfRule>
    <cfRule type="containsText" dxfId="2395" priority="2688" operator="containsText" text="On Track to be Achieved">
      <formula>NOT(ISERROR(SEARCH("On Track to be Achieved",G86)))</formula>
    </cfRule>
    <cfRule type="containsText" dxfId="2394" priority="2689" operator="containsText" text="Fully Achieved">
      <formula>NOT(ISERROR(SEARCH("Fully Achieved",G86)))</formula>
    </cfRule>
    <cfRule type="containsText" dxfId="2393" priority="2690" operator="containsText" text="Update not Provided">
      <formula>NOT(ISERROR(SEARCH("Update not Provided",G86)))</formula>
    </cfRule>
    <cfRule type="containsText" dxfId="2392" priority="2691" operator="containsText" text="Not yet due">
      <formula>NOT(ISERROR(SEARCH("Not yet due",G86)))</formula>
    </cfRule>
    <cfRule type="containsText" dxfId="2391" priority="2692" operator="containsText" text="Completed Behind Schedule">
      <formula>NOT(ISERROR(SEARCH("Completed Behind Schedule",G86)))</formula>
    </cfRule>
    <cfRule type="containsText" dxfId="2390" priority="2693" operator="containsText" text="Off Target">
      <formula>NOT(ISERROR(SEARCH("Off Target",G86)))</formula>
    </cfRule>
    <cfRule type="containsText" dxfId="2389" priority="2694" operator="containsText" text="In Danger of Falling Behind Target">
      <formula>NOT(ISERROR(SEARCH("In Danger of Falling Behind Target",G86)))</formula>
    </cfRule>
    <cfRule type="containsText" dxfId="2388" priority="2695" operator="containsText" text="On Track to be Achieved">
      <formula>NOT(ISERROR(SEARCH("On Track to be Achieved",G86)))</formula>
    </cfRule>
    <cfRule type="containsText" dxfId="2387" priority="2696" operator="containsText" text="Fully Achieved">
      <formula>NOT(ISERROR(SEARCH("Fully Achieved",G86)))</formula>
    </cfRule>
    <cfRule type="containsText" dxfId="2386" priority="2697" operator="containsText" text="Fully Achieved">
      <formula>NOT(ISERROR(SEARCH("Fully Achieved",G86)))</formula>
    </cfRule>
    <cfRule type="containsText" dxfId="2385" priority="2698" operator="containsText" text="Fully Achieved">
      <formula>NOT(ISERROR(SEARCH("Fully Achieved",G86)))</formula>
    </cfRule>
    <cfRule type="containsText" dxfId="2384" priority="2699" operator="containsText" text="Deferred">
      <formula>NOT(ISERROR(SEARCH("Deferred",G86)))</formula>
    </cfRule>
    <cfRule type="containsText" dxfId="2383" priority="2700" operator="containsText" text="Deleted">
      <formula>NOT(ISERROR(SEARCH("Deleted",G86)))</formula>
    </cfRule>
    <cfRule type="containsText" dxfId="2382" priority="2701" operator="containsText" text="In Danger of Falling Behind Target">
      <formula>NOT(ISERROR(SEARCH("In Danger of Falling Behind Target",G86)))</formula>
    </cfRule>
    <cfRule type="containsText" dxfId="2381" priority="2702" operator="containsText" text="Not yet due">
      <formula>NOT(ISERROR(SEARCH("Not yet due",G86)))</formula>
    </cfRule>
    <cfRule type="containsText" dxfId="2380" priority="2703" operator="containsText" text="Update not Provided">
      <formula>NOT(ISERROR(SEARCH("Update not Provided",G86)))</formula>
    </cfRule>
  </conditionalFormatting>
  <conditionalFormatting sqref="G86">
    <cfRule type="containsText" dxfId="2379" priority="2632" operator="containsText" text="On track to be achieved">
      <formula>NOT(ISERROR(SEARCH("On track to be achieved",G86)))</formula>
    </cfRule>
    <cfRule type="containsText" dxfId="2378" priority="2633" operator="containsText" text="Deferred">
      <formula>NOT(ISERROR(SEARCH("Deferred",G86)))</formula>
    </cfRule>
    <cfRule type="containsText" dxfId="2377" priority="2634" operator="containsText" text="Deleted">
      <formula>NOT(ISERROR(SEARCH("Deleted",G86)))</formula>
    </cfRule>
    <cfRule type="containsText" dxfId="2376" priority="2635" operator="containsText" text="In Danger of Falling Behind Target">
      <formula>NOT(ISERROR(SEARCH("In Danger of Falling Behind Target",G86)))</formula>
    </cfRule>
    <cfRule type="containsText" dxfId="2375" priority="2636" operator="containsText" text="Not yet due">
      <formula>NOT(ISERROR(SEARCH("Not yet due",G86)))</formula>
    </cfRule>
    <cfRule type="containsText" dxfId="2374" priority="2637" operator="containsText" text="Update not Provided">
      <formula>NOT(ISERROR(SEARCH("Update not Provided",G86)))</formula>
    </cfRule>
    <cfRule type="containsText" dxfId="2373" priority="2638" operator="containsText" text="Not yet due">
      <formula>NOT(ISERROR(SEARCH("Not yet due",G86)))</formula>
    </cfRule>
    <cfRule type="containsText" dxfId="2372" priority="2639" operator="containsText" text="Completed Behind Schedule">
      <formula>NOT(ISERROR(SEARCH("Completed Behind Schedule",G86)))</formula>
    </cfRule>
    <cfRule type="containsText" dxfId="2371" priority="2640" operator="containsText" text="Off Target">
      <formula>NOT(ISERROR(SEARCH("Off Target",G86)))</formula>
    </cfRule>
    <cfRule type="containsText" dxfId="2370" priority="2641" operator="containsText" text="On Track to be Achieved">
      <formula>NOT(ISERROR(SEARCH("On Track to be Achieved",G86)))</formula>
    </cfRule>
    <cfRule type="containsText" dxfId="2369" priority="2642" operator="containsText" text="Fully Achieved">
      <formula>NOT(ISERROR(SEARCH("Fully Achieved",G86)))</formula>
    </cfRule>
    <cfRule type="containsText" dxfId="2368" priority="2643" operator="containsText" text="Not yet due">
      <formula>NOT(ISERROR(SEARCH("Not yet due",G86)))</formula>
    </cfRule>
    <cfRule type="containsText" dxfId="2367" priority="2644" operator="containsText" text="Not Yet Due">
      <formula>NOT(ISERROR(SEARCH("Not Yet Due",G86)))</formula>
    </cfRule>
    <cfRule type="containsText" dxfId="2366" priority="2645" operator="containsText" text="Deferred">
      <formula>NOT(ISERROR(SEARCH("Deferred",G86)))</formula>
    </cfRule>
    <cfRule type="containsText" dxfId="2365" priority="2646" operator="containsText" text="Deleted">
      <formula>NOT(ISERROR(SEARCH("Deleted",G86)))</formula>
    </cfRule>
    <cfRule type="containsText" dxfId="2364" priority="2647" operator="containsText" text="In Danger of Falling Behind Target">
      <formula>NOT(ISERROR(SEARCH("In Danger of Falling Behind Target",G86)))</formula>
    </cfRule>
    <cfRule type="containsText" dxfId="2363" priority="2648" operator="containsText" text="Not yet due">
      <formula>NOT(ISERROR(SEARCH("Not yet due",G86)))</formula>
    </cfRule>
    <cfRule type="containsText" dxfId="2362" priority="2649" operator="containsText" text="Completed Behind Schedule">
      <formula>NOT(ISERROR(SEARCH("Completed Behind Schedule",G86)))</formula>
    </cfRule>
    <cfRule type="containsText" dxfId="2361" priority="2650" operator="containsText" text="Off Target">
      <formula>NOT(ISERROR(SEARCH("Off Target",G86)))</formula>
    </cfRule>
    <cfRule type="containsText" dxfId="2360" priority="2651" operator="containsText" text="In Danger of Falling Behind Target">
      <formula>NOT(ISERROR(SEARCH("In Danger of Falling Behind Target",G86)))</formula>
    </cfRule>
    <cfRule type="containsText" dxfId="2359" priority="2652" operator="containsText" text="On Track to be Achieved">
      <formula>NOT(ISERROR(SEARCH("On Track to be Achieved",G86)))</formula>
    </cfRule>
    <cfRule type="containsText" dxfId="2358" priority="2653" operator="containsText" text="Fully Achieved">
      <formula>NOT(ISERROR(SEARCH("Fully Achieved",G86)))</formula>
    </cfRule>
    <cfRule type="containsText" dxfId="2357" priority="2654" operator="containsText" text="Update not Provided">
      <formula>NOT(ISERROR(SEARCH("Update not Provided",G86)))</formula>
    </cfRule>
    <cfRule type="containsText" dxfId="2356" priority="2655" operator="containsText" text="Not yet due">
      <formula>NOT(ISERROR(SEARCH("Not yet due",G86)))</formula>
    </cfRule>
    <cfRule type="containsText" dxfId="2355" priority="2656" operator="containsText" text="Completed Behind Schedule">
      <formula>NOT(ISERROR(SEARCH("Completed Behind Schedule",G86)))</formula>
    </cfRule>
    <cfRule type="containsText" dxfId="2354" priority="2657" operator="containsText" text="Off Target">
      <formula>NOT(ISERROR(SEARCH("Off Target",G86)))</formula>
    </cfRule>
    <cfRule type="containsText" dxfId="2353" priority="2658" operator="containsText" text="In Danger of Falling Behind Target">
      <formula>NOT(ISERROR(SEARCH("In Danger of Falling Behind Target",G86)))</formula>
    </cfRule>
    <cfRule type="containsText" dxfId="2352" priority="2659" operator="containsText" text="On Track to be Achieved">
      <formula>NOT(ISERROR(SEARCH("On Track to be Achieved",G86)))</formula>
    </cfRule>
    <cfRule type="containsText" dxfId="2351" priority="2660" operator="containsText" text="Fully Achieved">
      <formula>NOT(ISERROR(SEARCH("Fully Achieved",G86)))</formula>
    </cfRule>
    <cfRule type="containsText" dxfId="2350" priority="2661" operator="containsText" text="Fully Achieved">
      <formula>NOT(ISERROR(SEARCH("Fully Achieved",G86)))</formula>
    </cfRule>
    <cfRule type="containsText" dxfId="2349" priority="2662" operator="containsText" text="Fully Achieved">
      <formula>NOT(ISERROR(SEARCH("Fully Achieved",G86)))</formula>
    </cfRule>
    <cfRule type="containsText" dxfId="2348" priority="2663" operator="containsText" text="Deferred">
      <formula>NOT(ISERROR(SEARCH("Deferred",G86)))</formula>
    </cfRule>
    <cfRule type="containsText" dxfId="2347" priority="2664" operator="containsText" text="Deleted">
      <formula>NOT(ISERROR(SEARCH("Deleted",G86)))</formula>
    </cfRule>
    <cfRule type="containsText" dxfId="2346" priority="2665" operator="containsText" text="In Danger of Falling Behind Target">
      <formula>NOT(ISERROR(SEARCH("In Danger of Falling Behind Target",G86)))</formula>
    </cfRule>
    <cfRule type="containsText" dxfId="2345" priority="2666" operator="containsText" text="Not yet due">
      <formula>NOT(ISERROR(SEARCH("Not yet due",G86)))</formula>
    </cfRule>
    <cfRule type="containsText" dxfId="2344" priority="2667" operator="containsText" text="Update not Provided">
      <formula>NOT(ISERROR(SEARCH("Update not Provided",G86)))</formula>
    </cfRule>
  </conditionalFormatting>
  <conditionalFormatting sqref="G87:G97">
    <cfRule type="containsText" dxfId="2343" priority="2596" operator="containsText" text="On track to be achieved">
      <formula>NOT(ISERROR(SEARCH("On track to be achieved",G87)))</formula>
    </cfRule>
    <cfRule type="containsText" dxfId="2342" priority="2597" operator="containsText" text="Deferred">
      <formula>NOT(ISERROR(SEARCH("Deferred",G87)))</formula>
    </cfRule>
    <cfRule type="containsText" dxfId="2341" priority="2598" operator="containsText" text="Deleted">
      <formula>NOT(ISERROR(SEARCH("Deleted",G87)))</formula>
    </cfRule>
    <cfRule type="containsText" dxfId="2340" priority="2599" operator="containsText" text="In Danger of Falling Behind Target">
      <formula>NOT(ISERROR(SEARCH("In Danger of Falling Behind Target",G87)))</formula>
    </cfRule>
    <cfRule type="containsText" dxfId="2339" priority="2600" operator="containsText" text="Not yet due">
      <formula>NOT(ISERROR(SEARCH("Not yet due",G87)))</formula>
    </cfRule>
    <cfRule type="containsText" dxfId="2338" priority="2601" operator="containsText" text="Update not Provided">
      <formula>NOT(ISERROR(SEARCH("Update not Provided",G87)))</formula>
    </cfRule>
    <cfRule type="containsText" dxfId="2337" priority="2602" operator="containsText" text="Not yet due">
      <formula>NOT(ISERROR(SEARCH("Not yet due",G87)))</formula>
    </cfRule>
    <cfRule type="containsText" dxfId="2336" priority="2603" operator="containsText" text="Completed Behind Schedule">
      <formula>NOT(ISERROR(SEARCH("Completed Behind Schedule",G87)))</formula>
    </cfRule>
    <cfRule type="containsText" dxfId="2335" priority="2604" operator="containsText" text="Off Target">
      <formula>NOT(ISERROR(SEARCH("Off Target",G87)))</formula>
    </cfRule>
    <cfRule type="containsText" dxfId="2334" priority="2605" operator="containsText" text="On Track to be Achieved">
      <formula>NOT(ISERROR(SEARCH("On Track to be Achieved",G87)))</formula>
    </cfRule>
    <cfRule type="containsText" dxfId="2333" priority="2606" operator="containsText" text="Fully Achieved">
      <formula>NOT(ISERROR(SEARCH("Fully Achieved",G87)))</formula>
    </cfRule>
    <cfRule type="containsText" dxfId="2332" priority="2607" operator="containsText" text="Not yet due">
      <formula>NOT(ISERROR(SEARCH("Not yet due",G87)))</formula>
    </cfRule>
    <cfRule type="containsText" dxfId="2331" priority="2608" operator="containsText" text="Not Yet Due">
      <formula>NOT(ISERROR(SEARCH("Not Yet Due",G87)))</formula>
    </cfRule>
    <cfRule type="containsText" dxfId="2330" priority="2609" operator="containsText" text="Deferred">
      <formula>NOT(ISERROR(SEARCH("Deferred",G87)))</formula>
    </cfRule>
    <cfRule type="containsText" dxfId="2329" priority="2610" operator="containsText" text="Deleted">
      <formula>NOT(ISERROR(SEARCH("Deleted",G87)))</formula>
    </cfRule>
    <cfRule type="containsText" dxfId="2328" priority="2611" operator="containsText" text="In Danger of Falling Behind Target">
      <formula>NOT(ISERROR(SEARCH("In Danger of Falling Behind Target",G87)))</formula>
    </cfRule>
    <cfRule type="containsText" dxfId="2327" priority="2612" operator="containsText" text="Not yet due">
      <formula>NOT(ISERROR(SEARCH("Not yet due",G87)))</formula>
    </cfRule>
    <cfRule type="containsText" dxfId="2326" priority="2613" operator="containsText" text="Completed Behind Schedule">
      <formula>NOT(ISERROR(SEARCH("Completed Behind Schedule",G87)))</formula>
    </cfRule>
    <cfRule type="containsText" dxfId="2325" priority="2614" operator="containsText" text="Off Target">
      <formula>NOT(ISERROR(SEARCH("Off Target",G87)))</formula>
    </cfRule>
    <cfRule type="containsText" dxfId="2324" priority="2615" operator="containsText" text="In Danger of Falling Behind Target">
      <formula>NOT(ISERROR(SEARCH("In Danger of Falling Behind Target",G87)))</formula>
    </cfRule>
    <cfRule type="containsText" dxfId="2323" priority="2616" operator="containsText" text="On Track to be Achieved">
      <formula>NOT(ISERROR(SEARCH("On Track to be Achieved",G87)))</formula>
    </cfRule>
    <cfRule type="containsText" dxfId="2322" priority="2617" operator="containsText" text="Fully Achieved">
      <formula>NOT(ISERROR(SEARCH("Fully Achieved",G87)))</formula>
    </cfRule>
    <cfRule type="containsText" dxfId="2321" priority="2618" operator="containsText" text="Update not Provided">
      <formula>NOT(ISERROR(SEARCH("Update not Provided",G87)))</formula>
    </cfRule>
    <cfRule type="containsText" dxfId="2320" priority="2619" operator="containsText" text="Not yet due">
      <formula>NOT(ISERROR(SEARCH("Not yet due",G87)))</formula>
    </cfRule>
    <cfRule type="containsText" dxfId="2319" priority="2620" operator="containsText" text="Completed Behind Schedule">
      <formula>NOT(ISERROR(SEARCH("Completed Behind Schedule",G87)))</formula>
    </cfRule>
    <cfRule type="containsText" dxfId="2318" priority="2621" operator="containsText" text="Off Target">
      <formula>NOT(ISERROR(SEARCH("Off Target",G87)))</formula>
    </cfRule>
    <cfRule type="containsText" dxfId="2317" priority="2622" operator="containsText" text="In Danger of Falling Behind Target">
      <formula>NOT(ISERROR(SEARCH("In Danger of Falling Behind Target",G87)))</formula>
    </cfRule>
    <cfRule type="containsText" dxfId="2316" priority="2623" operator="containsText" text="On Track to be Achieved">
      <formula>NOT(ISERROR(SEARCH("On Track to be Achieved",G87)))</formula>
    </cfRule>
    <cfRule type="containsText" dxfId="2315" priority="2624" operator="containsText" text="Fully Achieved">
      <formula>NOT(ISERROR(SEARCH("Fully Achieved",G87)))</formula>
    </cfRule>
    <cfRule type="containsText" dxfId="2314" priority="2625" operator="containsText" text="Fully Achieved">
      <formula>NOT(ISERROR(SEARCH("Fully Achieved",G87)))</formula>
    </cfRule>
    <cfRule type="containsText" dxfId="2313" priority="2626" operator="containsText" text="Fully Achieved">
      <formula>NOT(ISERROR(SEARCH("Fully Achieved",G87)))</formula>
    </cfRule>
    <cfRule type="containsText" dxfId="2312" priority="2627" operator="containsText" text="Deferred">
      <formula>NOT(ISERROR(SEARCH("Deferred",G87)))</formula>
    </cfRule>
    <cfRule type="containsText" dxfId="2311" priority="2628" operator="containsText" text="Deleted">
      <formula>NOT(ISERROR(SEARCH("Deleted",G87)))</formula>
    </cfRule>
    <cfRule type="containsText" dxfId="2310" priority="2629" operator="containsText" text="In Danger of Falling Behind Target">
      <formula>NOT(ISERROR(SEARCH("In Danger of Falling Behind Target",G87)))</formula>
    </cfRule>
    <cfRule type="containsText" dxfId="2309" priority="2630" operator="containsText" text="Not yet due">
      <formula>NOT(ISERROR(SEARCH("Not yet due",G87)))</formula>
    </cfRule>
    <cfRule type="containsText" dxfId="2308" priority="2631" operator="containsText" text="Update not Provided">
      <formula>NOT(ISERROR(SEARCH("Update not Provided",G87)))</formula>
    </cfRule>
  </conditionalFormatting>
  <conditionalFormatting sqref="G98">
    <cfRule type="containsText" dxfId="2307" priority="2560" operator="containsText" text="On track to be achieved">
      <formula>NOT(ISERROR(SEARCH("On track to be achieved",G98)))</formula>
    </cfRule>
    <cfRule type="containsText" dxfId="2306" priority="2561" operator="containsText" text="Deferred">
      <formula>NOT(ISERROR(SEARCH("Deferred",G98)))</formula>
    </cfRule>
    <cfRule type="containsText" dxfId="2305" priority="2562" operator="containsText" text="Deleted">
      <formula>NOT(ISERROR(SEARCH("Deleted",G98)))</formula>
    </cfRule>
    <cfRule type="containsText" dxfId="2304" priority="2563" operator="containsText" text="In Danger of Falling Behind Target">
      <formula>NOT(ISERROR(SEARCH("In Danger of Falling Behind Target",G98)))</formula>
    </cfRule>
    <cfRule type="containsText" dxfId="2303" priority="2564" operator="containsText" text="Not yet due">
      <formula>NOT(ISERROR(SEARCH("Not yet due",G98)))</formula>
    </cfRule>
    <cfRule type="containsText" dxfId="2302" priority="2565" operator="containsText" text="Update not Provided">
      <formula>NOT(ISERROR(SEARCH("Update not Provided",G98)))</formula>
    </cfRule>
    <cfRule type="containsText" dxfId="2301" priority="2566" operator="containsText" text="Not yet due">
      <formula>NOT(ISERROR(SEARCH("Not yet due",G98)))</formula>
    </cfRule>
    <cfRule type="containsText" dxfId="2300" priority="2567" operator="containsText" text="Completed Behind Schedule">
      <formula>NOT(ISERROR(SEARCH("Completed Behind Schedule",G98)))</formula>
    </cfRule>
    <cfRule type="containsText" dxfId="2299" priority="2568" operator="containsText" text="Off Target">
      <formula>NOT(ISERROR(SEARCH("Off Target",G98)))</formula>
    </cfRule>
    <cfRule type="containsText" dxfId="2298" priority="2569" operator="containsText" text="On Track to be Achieved">
      <formula>NOT(ISERROR(SEARCH("On Track to be Achieved",G98)))</formula>
    </cfRule>
    <cfRule type="containsText" dxfId="2297" priority="2570" operator="containsText" text="Fully Achieved">
      <formula>NOT(ISERROR(SEARCH("Fully Achieved",G98)))</formula>
    </cfRule>
    <cfRule type="containsText" dxfId="2296" priority="2571" operator="containsText" text="Not yet due">
      <formula>NOT(ISERROR(SEARCH("Not yet due",G98)))</formula>
    </cfRule>
    <cfRule type="containsText" dxfId="2295" priority="2572" operator="containsText" text="Not Yet Due">
      <formula>NOT(ISERROR(SEARCH("Not Yet Due",G98)))</formula>
    </cfRule>
    <cfRule type="containsText" dxfId="2294" priority="2573" operator="containsText" text="Deferred">
      <formula>NOT(ISERROR(SEARCH("Deferred",G98)))</formula>
    </cfRule>
    <cfRule type="containsText" dxfId="2293" priority="2574" operator="containsText" text="Deleted">
      <formula>NOT(ISERROR(SEARCH("Deleted",G98)))</formula>
    </cfRule>
    <cfRule type="containsText" dxfId="2292" priority="2575" operator="containsText" text="In Danger of Falling Behind Target">
      <formula>NOT(ISERROR(SEARCH("In Danger of Falling Behind Target",G98)))</formula>
    </cfRule>
    <cfRule type="containsText" dxfId="2291" priority="2576" operator="containsText" text="Not yet due">
      <formula>NOT(ISERROR(SEARCH("Not yet due",G98)))</formula>
    </cfRule>
    <cfRule type="containsText" dxfId="2290" priority="2577" operator="containsText" text="Completed Behind Schedule">
      <formula>NOT(ISERROR(SEARCH("Completed Behind Schedule",G98)))</formula>
    </cfRule>
    <cfRule type="containsText" dxfId="2289" priority="2578" operator="containsText" text="Off Target">
      <formula>NOT(ISERROR(SEARCH("Off Target",G98)))</formula>
    </cfRule>
    <cfRule type="containsText" dxfId="2288" priority="2579" operator="containsText" text="In Danger of Falling Behind Target">
      <formula>NOT(ISERROR(SEARCH("In Danger of Falling Behind Target",G98)))</formula>
    </cfRule>
    <cfRule type="containsText" dxfId="2287" priority="2580" operator="containsText" text="On Track to be Achieved">
      <formula>NOT(ISERROR(SEARCH("On Track to be Achieved",G98)))</formula>
    </cfRule>
    <cfRule type="containsText" dxfId="2286" priority="2581" operator="containsText" text="Fully Achieved">
      <formula>NOT(ISERROR(SEARCH("Fully Achieved",G98)))</formula>
    </cfRule>
    <cfRule type="containsText" dxfId="2285" priority="2582" operator="containsText" text="Update not Provided">
      <formula>NOT(ISERROR(SEARCH("Update not Provided",G98)))</formula>
    </cfRule>
    <cfRule type="containsText" dxfId="2284" priority="2583" operator="containsText" text="Not yet due">
      <formula>NOT(ISERROR(SEARCH("Not yet due",G98)))</formula>
    </cfRule>
    <cfRule type="containsText" dxfId="2283" priority="2584" operator="containsText" text="Completed Behind Schedule">
      <formula>NOT(ISERROR(SEARCH("Completed Behind Schedule",G98)))</formula>
    </cfRule>
    <cfRule type="containsText" dxfId="2282" priority="2585" operator="containsText" text="Off Target">
      <formula>NOT(ISERROR(SEARCH("Off Target",G98)))</formula>
    </cfRule>
    <cfRule type="containsText" dxfId="2281" priority="2586" operator="containsText" text="In Danger of Falling Behind Target">
      <formula>NOT(ISERROR(SEARCH("In Danger of Falling Behind Target",G98)))</formula>
    </cfRule>
    <cfRule type="containsText" dxfId="2280" priority="2587" operator="containsText" text="On Track to be Achieved">
      <formula>NOT(ISERROR(SEARCH("On Track to be Achieved",G98)))</formula>
    </cfRule>
    <cfRule type="containsText" dxfId="2279" priority="2588" operator="containsText" text="Fully Achieved">
      <formula>NOT(ISERROR(SEARCH("Fully Achieved",G98)))</formula>
    </cfRule>
    <cfRule type="containsText" dxfId="2278" priority="2589" operator="containsText" text="Fully Achieved">
      <formula>NOT(ISERROR(SEARCH("Fully Achieved",G98)))</formula>
    </cfRule>
    <cfRule type="containsText" dxfId="2277" priority="2590" operator="containsText" text="Fully Achieved">
      <formula>NOT(ISERROR(SEARCH("Fully Achieved",G98)))</formula>
    </cfRule>
    <cfRule type="containsText" dxfId="2276" priority="2591" operator="containsText" text="Deferred">
      <formula>NOT(ISERROR(SEARCH("Deferred",G98)))</formula>
    </cfRule>
    <cfRule type="containsText" dxfId="2275" priority="2592" operator="containsText" text="Deleted">
      <formula>NOT(ISERROR(SEARCH("Deleted",G98)))</formula>
    </cfRule>
    <cfRule type="containsText" dxfId="2274" priority="2593" operator="containsText" text="In Danger of Falling Behind Target">
      <formula>NOT(ISERROR(SEARCH("In Danger of Falling Behind Target",G98)))</formula>
    </cfRule>
    <cfRule type="containsText" dxfId="2273" priority="2594" operator="containsText" text="Not yet due">
      <formula>NOT(ISERROR(SEARCH("Not yet due",G98)))</formula>
    </cfRule>
    <cfRule type="containsText" dxfId="2272" priority="2595" operator="containsText" text="Update not Provided">
      <formula>NOT(ISERROR(SEARCH("Update not Provided",G98)))</formula>
    </cfRule>
  </conditionalFormatting>
  <conditionalFormatting sqref="G98">
    <cfRule type="containsText" dxfId="2271" priority="2524" operator="containsText" text="On track to be achieved">
      <formula>NOT(ISERROR(SEARCH("On track to be achieved",G98)))</formula>
    </cfRule>
    <cfRule type="containsText" dxfId="2270" priority="2525" operator="containsText" text="Deferred">
      <formula>NOT(ISERROR(SEARCH("Deferred",G98)))</formula>
    </cfRule>
    <cfRule type="containsText" dxfId="2269" priority="2526" operator="containsText" text="Deleted">
      <formula>NOT(ISERROR(SEARCH("Deleted",G98)))</formula>
    </cfRule>
    <cfRule type="containsText" dxfId="2268" priority="2527" operator="containsText" text="In Danger of Falling Behind Target">
      <formula>NOT(ISERROR(SEARCH("In Danger of Falling Behind Target",G98)))</formula>
    </cfRule>
    <cfRule type="containsText" dxfId="2267" priority="2528" operator="containsText" text="Not yet due">
      <formula>NOT(ISERROR(SEARCH("Not yet due",G98)))</formula>
    </cfRule>
    <cfRule type="containsText" dxfId="2266" priority="2529" operator="containsText" text="Update not Provided">
      <formula>NOT(ISERROR(SEARCH("Update not Provided",G98)))</formula>
    </cfRule>
    <cfRule type="containsText" dxfId="2265" priority="2530" operator="containsText" text="Not yet due">
      <formula>NOT(ISERROR(SEARCH("Not yet due",G98)))</formula>
    </cfRule>
    <cfRule type="containsText" dxfId="2264" priority="2531" operator="containsText" text="Completed Behind Schedule">
      <formula>NOT(ISERROR(SEARCH("Completed Behind Schedule",G98)))</formula>
    </cfRule>
    <cfRule type="containsText" dxfId="2263" priority="2532" operator="containsText" text="Off Target">
      <formula>NOT(ISERROR(SEARCH("Off Target",G98)))</formula>
    </cfRule>
    <cfRule type="containsText" dxfId="2262" priority="2533" operator="containsText" text="On Track to be Achieved">
      <formula>NOT(ISERROR(SEARCH("On Track to be Achieved",G98)))</formula>
    </cfRule>
    <cfRule type="containsText" dxfId="2261" priority="2534" operator="containsText" text="Fully Achieved">
      <formula>NOT(ISERROR(SEARCH("Fully Achieved",G98)))</formula>
    </cfRule>
    <cfRule type="containsText" dxfId="2260" priority="2535" operator="containsText" text="Not yet due">
      <formula>NOT(ISERROR(SEARCH("Not yet due",G98)))</formula>
    </cfRule>
    <cfRule type="containsText" dxfId="2259" priority="2536" operator="containsText" text="Not Yet Due">
      <formula>NOT(ISERROR(SEARCH("Not Yet Due",G98)))</formula>
    </cfRule>
    <cfRule type="containsText" dxfId="2258" priority="2537" operator="containsText" text="Deferred">
      <formula>NOT(ISERROR(SEARCH("Deferred",G98)))</formula>
    </cfRule>
    <cfRule type="containsText" dxfId="2257" priority="2538" operator="containsText" text="Deleted">
      <formula>NOT(ISERROR(SEARCH("Deleted",G98)))</formula>
    </cfRule>
    <cfRule type="containsText" dxfId="2256" priority="2539" operator="containsText" text="In Danger of Falling Behind Target">
      <formula>NOT(ISERROR(SEARCH("In Danger of Falling Behind Target",G98)))</formula>
    </cfRule>
    <cfRule type="containsText" dxfId="2255" priority="2540" operator="containsText" text="Not yet due">
      <formula>NOT(ISERROR(SEARCH("Not yet due",G98)))</formula>
    </cfRule>
    <cfRule type="containsText" dxfId="2254" priority="2541" operator="containsText" text="Completed Behind Schedule">
      <formula>NOT(ISERROR(SEARCH("Completed Behind Schedule",G98)))</formula>
    </cfRule>
    <cfRule type="containsText" dxfId="2253" priority="2542" operator="containsText" text="Off Target">
      <formula>NOT(ISERROR(SEARCH("Off Target",G98)))</formula>
    </cfRule>
    <cfRule type="containsText" dxfId="2252" priority="2543" operator="containsText" text="In Danger of Falling Behind Target">
      <formula>NOT(ISERROR(SEARCH("In Danger of Falling Behind Target",G98)))</formula>
    </cfRule>
    <cfRule type="containsText" dxfId="2251" priority="2544" operator="containsText" text="On Track to be Achieved">
      <formula>NOT(ISERROR(SEARCH("On Track to be Achieved",G98)))</formula>
    </cfRule>
    <cfRule type="containsText" dxfId="2250" priority="2545" operator="containsText" text="Fully Achieved">
      <formula>NOT(ISERROR(SEARCH("Fully Achieved",G98)))</formula>
    </cfRule>
    <cfRule type="containsText" dxfId="2249" priority="2546" operator="containsText" text="Update not Provided">
      <formula>NOT(ISERROR(SEARCH("Update not Provided",G98)))</formula>
    </cfRule>
    <cfRule type="containsText" dxfId="2248" priority="2547" operator="containsText" text="Not yet due">
      <formula>NOT(ISERROR(SEARCH("Not yet due",G98)))</formula>
    </cfRule>
    <cfRule type="containsText" dxfId="2247" priority="2548" operator="containsText" text="Completed Behind Schedule">
      <formula>NOT(ISERROR(SEARCH("Completed Behind Schedule",G98)))</formula>
    </cfRule>
    <cfRule type="containsText" dxfId="2246" priority="2549" operator="containsText" text="Off Target">
      <formula>NOT(ISERROR(SEARCH("Off Target",G98)))</formula>
    </cfRule>
    <cfRule type="containsText" dxfId="2245" priority="2550" operator="containsText" text="In Danger of Falling Behind Target">
      <formula>NOT(ISERROR(SEARCH("In Danger of Falling Behind Target",G98)))</formula>
    </cfRule>
    <cfRule type="containsText" dxfId="2244" priority="2551" operator="containsText" text="On Track to be Achieved">
      <formula>NOT(ISERROR(SEARCH("On Track to be Achieved",G98)))</formula>
    </cfRule>
    <cfRule type="containsText" dxfId="2243" priority="2552" operator="containsText" text="Fully Achieved">
      <formula>NOT(ISERROR(SEARCH("Fully Achieved",G98)))</formula>
    </cfRule>
    <cfRule type="containsText" dxfId="2242" priority="2553" operator="containsText" text="Fully Achieved">
      <formula>NOT(ISERROR(SEARCH("Fully Achieved",G98)))</formula>
    </cfRule>
    <cfRule type="containsText" dxfId="2241" priority="2554" operator="containsText" text="Fully Achieved">
      <formula>NOT(ISERROR(SEARCH("Fully Achieved",G98)))</formula>
    </cfRule>
    <cfRule type="containsText" dxfId="2240" priority="2555" operator="containsText" text="Deferred">
      <formula>NOT(ISERROR(SEARCH("Deferred",G98)))</formula>
    </cfRule>
    <cfRule type="containsText" dxfId="2239" priority="2556" operator="containsText" text="Deleted">
      <formula>NOT(ISERROR(SEARCH("Deleted",G98)))</formula>
    </cfRule>
    <cfRule type="containsText" dxfId="2238" priority="2557" operator="containsText" text="In Danger of Falling Behind Target">
      <formula>NOT(ISERROR(SEARCH("In Danger of Falling Behind Target",G98)))</formula>
    </cfRule>
    <cfRule type="containsText" dxfId="2237" priority="2558" operator="containsText" text="Not yet due">
      <formula>NOT(ISERROR(SEARCH("Not yet due",G98)))</formula>
    </cfRule>
    <cfRule type="containsText" dxfId="2236" priority="2559" operator="containsText" text="Update not Provided">
      <formula>NOT(ISERROR(SEARCH("Update not Provided",G98)))</formula>
    </cfRule>
  </conditionalFormatting>
  <conditionalFormatting sqref="G100:G110">
    <cfRule type="containsText" dxfId="2235" priority="2488" operator="containsText" text="On track to be achieved">
      <formula>NOT(ISERROR(SEARCH("On track to be achieved",G100)))</formula>
    </cfRule>
    <cfRule type="containsText" dxfId="2234" priority="2489" operator="containsText" text="Deferred">
      <formula>NOT(ISERROR(SEARCH("Deferred",G100)))</formula>
    </cfRule>
    <cfRule type="containsText" dxfId="2233" priority="2490" operator="containsText" text="Deleted">
      <formula>NOT(ISERROR(SEARCH("Deleted",G100)))</formula>
    </cfRule>
    <cfRule type="containsText" dxfId="2232" priority="2491" operator="containsText" text="In Danger of Falling Behind Target">
      <formula>NOT(ISERROR(SEARCH("In Danger of Falling Behind Target",G100)))</formula>
    </cfRule>
    <cfRule type="containsText" dxfId="2231" priority="2492" operator="containsText" text="Not yet due">
      <formula>NOT(ISERROR(SEARCH("Not yet due",G100)))</formula>
    </cfRule>
    <cfRule type="containsText" dxfId="2230" priority="2493" operator="containsText" text="Update not Provided">
      <formula>NOT(ISERROR(SEARCH("Update not Provided",G100)))</formula>
    </cfRule>
    <cfRule type="containsText" dxfId="2229" priority="2494" operator="containsText" text="Not yet due">
      <formula>NOT(ISERROR(SEARCH("Not yet due",G100)))</formula>
    </cfRule>
    <cfRule type="containsText" dxfId="2228" priority="2495" operator="containsText" text="Completed Behind Schedule">
      <formula>NOT(ISERROR(SEARCH("Completed Behind Schedule",G100)))</formula>
    </cfRule>
    <cfRule type="containsText" dxfId="2227" priority="2496" operator="containsText" text="Off Target">
      <formula>NOT(ISERROR(SEARCH("Off Target",G100)))</formula>
    </cfRule>
    <cfRule type="containsText" dxfId="2226" priority="2497" operator="containsText" text="On Track to be Achieved">
      <formula>NOT(ISERROR(SEARCH("On Track to be Achieved",G100)))</formula>
    </cfRule>
    <cfRule type="containsText" dxfId="2225" priority="2498" operator="containsText" text="Fully Achieved">
      <formula>NOT(ISERROR(SEARCH("Fully Achieved",G100)))</formula>
    </cfRule>
    <cfRule type="containsText" dxfId="2224" priority="2499" operator="containsText" text="Not yet due">
      <formula>NOT(ISERROR(SEARCH("Not yet due",G100)))</formula>
    </cfRule>
    <cfRule type="containsText" dxfId="2223" priority="2500" operator="containsText" text="Not Yet Due">
      <formula>NOT(ISERROR(SEARCH("Not Yet Due",G100)))</formula>
    </cfRule>
    <cfRule type="containsText" dxfId="2222" priority="2501" operator="containsText" text="Deferred">
      <formula>NOT(ISERROR(SEARCH("Deferred",G100)))</formula>
    </cfRule>
    <cfRule type="containsText" dxfId="2221" priority="2502" operator="containsText" text="Deleted">
      <formula>NOT(ISERROR(SEARCH("Deleted",G100)))</formula>
    </cfRule>
    <cfRule type="containsText" dxfId="2220" priority="2503" operator="containsText" text="In Danger of Falling Behind Target">
      <formula>NOT(ISERROR(SEARCH("In Danger of Falling Behind Target",G100)))</formula>
    </cfRule>
    <cfRule type="containsText" dxfId="2219" priority="2504" operator="containsText" text="Not yet due">
      <formula>NOT(ISERROR(SEARCH("Not yet due",G100)))</formula>
    </cfRule>
    <cfRule type="containsText" dxfId="2218" priority="2505" operator="containsText" text="Completed Behind Schedule">
      <formula>NOT(ISERROR(SEARCH("Completed Behind Schedule",G100)))</formula>
    </cfRule>
    <cfRule type="containsText" dxfId="2217" priority="2506" operator="containsText" text="Off Target">
      <formula>NOT(ISERROR(SEARCH("Off Target",G100)))</formula>
    </cfRule>
    <cfRule type="containsText" dxfId="2216" priority="2507" operator="containsText" text="In Danger of Falling Behind Target">
      <formula>NOT(ISERROR(SEARCH("In Danger of Falling Behind Target",G100)))</formula>
    </cfRule>
    <cfRule type="containsText" dxfId="2215" priority="2508" operator="containsText" text="On Track to be Achieved">
      <formula>NOT(ISERROR(SEARCH("On Track to be Achieved",G100)))</formula>
    </cfRule>
    <cfRule type="containsText" dxfId="2214" priority="2509" operator="containsText" text="Fully Achieved">
      <formula>NOT(ISERROR(SEARCH("Fully Achieved",G100)))</formula>
    </cfRule>
    <cfRule type="containsText" dxfId="2213" priority="2510" operator="containsText" text="Update not Provided">
      <formula>NOT(ISERROR(SEARCH("Update not Provided",G100)))</formula>
    </cfRule>
    <cfRule type="containsText" dxfId="2212" priority="2511" operator="containsText" text="Not yet due">
      <formula>NOT(ISERROR(SEARCH("Not yet due",G100)))</formula>
    </cfRule>
    <cfRule type="containsText" dxfId="2211" priority="2512" operator="containsText" text="Completed Behind Schedule">
      <formula>NOT(ISERROR(SEARCH("Completed Behind Schedule",G100)))</formula>
    </cfRule>
    <cfRule type="containsText" dxfId="2210" priority="2513" operator="containsText" text="Off Target">
      <formula>NOT(ISERROR(SEARCH("Off Target",G100)))</formula>
    </cfRule>
    <cfRule type="containsText" dxfId="2209" priority="2514" operator="containsText" text="In Danger of Falling Behind Target">
      <formula>NOT(ISERROR(SEARCH("In Danger of Falling Behind Target",G100)))</formula>
    </cfRule>
    <cfRule type="containsText" dxfId="2208" priority="2515" operator="containsText" text="On Track to be Achieved">
      <formula>NOT(ISERROR(SEARCH("On Track to be Achieved",G100)))</formula>
    </cfRule>
    <cfRule type="containsText" dxfId="2207" priority="2516" operator="containsText" text="Fully Achieved">
      <formula>NOT(ISERROR(SEARCH("Fully Achieved",G100)))</formula>
    </cfRule>
    <cfRule type="containsText" dxfId="2206" priority="2517" operator="containsText" text="Fully Achieved">
      <formula>NOT(ISERROR(SEARCH("Fully Achieved",G100)))</formula>
    </cfRule>
    <cfRule type="containsText" dxfId="2205" priority="2518" operator="containsText" text="Fully Achieved">
      <formula>NOT(ISERROR(SEARCH("Fully Achieved",G100)))</formula>
    </cfRule>
    <cfRule type="containsText" dxfId="2204" priority="2519" operator="containsText" text="Deferred">
      <formula>NOT(ISERROR(SEARCH("Deferred",G100)))</formula>
    </cfRule>
    <cfRule type="containsText" dxfId="2203" priority="2520" operator="containsText" text="Deleted">
      <formula>NOT(ISERROR(SEARCH("Deleted",G100)))</formula>
    </cfRule>
    <cfRule type="containsText" dxfId="2202" priority="2521" operator="containsText" text="In Danger of Falling Behind Target">
      <formula>NOT(ISERROR(SEARCH("In Danger of Falling Behind Target",G100)))</formula>
    </cfRule>
    <cfRule type="containsText" dxfId="2201" priority="2522" operator="containsText" text="Not yet due">
      <formula>NOT(ISERROR(SEARCH("Not yet due",G100)))</formula>
    </cfRule>
    <cfRule type="containsText" dxfId="2200" priority="2523" operator="containsText" text="Update not Provided">
      <formula>NOT(ISERROR(SEARCH("Update not Provided",G100)))</formula>
    </cfRule>
  </conditionalFormatting>
  <conditionalFormatting sqref="I3:I11">
    <cfRule type="containsText" dxfId="2199" priority="2380" operator="containsText" text="On track to be achieved">
      <formula>NOT(ISERROR(SEARCH("On track to be achieved",I3)))</formula>
    </cfRule>
    <cfRule type="containsText" dxfId="2198" priority="2381" operator="containsText" text="Deferred">
      <formula>NOT(ISERROR(SEARCH("Deferred",I3)))</formula>
    </cfRule>
    <cfRule type="containsText" dxfId="2197" priority="2382" operator="containsText" text="Deleted">
      <formula>NOT(ISERROR(SEARCH("Deleted",I3)))</formula>
    </cfRule>
    <cfRule type="containsText" dxfId="2196" priority="2383" operator="containsText" text="In Danger of Falling Behind Target">
      <formula>NOT(ISERROR(SEARCH("In Danger of Falling Behind Target",I3)))</formula>
    </cfRule>
    <cfRule type="containsText" dxfId="2195" priority="2384" operator="containsText" text="Not yet due">
      <formula>NOT(ISERROR(SEARCH("Not yet due",I3)))</formula>
    </cfRule>
    <cfRule type="containsText" dxfId="2194" priority="2385" operator="containsText" text="Update not Provided">
      <formula>NOT(ISERROR(SEARCH("Update not Provided",I3)))</formula>
    </cfRule>
    <cfRule type="containsText" dxfId="2193" priority="2386" operator="containsText" text="Not yet due">
      <formula>NOT(ISERROR(SEARCH("Not yet due",I3)))</formula>
    </cfRule>
    <cfRule type="containsText" dxfId="2192" priority="2387" operator="containsText" text="Completed Behind Schedule">
      <formula>NOT(ISERROR(SEARCH("Completed Behind Schedule",I3)))</formula>
    </cfRule>
    <cfRule type="containsText" dxfId="2191" priority="2388" operator="containsText" text="Off Target">
      <formula>NOT(ISERROR(SEARCH("Off Target",I3)))</formula>
    </cfRule>
    <cfRule type="containsText" dxfId="2190" priority="2389" operator="containsText" text="On Track to be Achieved">
      <formula>NOT(ISERROR(SEARCH("On Track to be Achieved",I3)))</formula>
    </cfRule>
    <cfRule type="containsText" dxfId="2189" priority="2390" operator="containsText" text="Fully Achieved">
      <formula>NOT(ISERROR(SEARCH("Fully Achieved",I3)))</formula>
    </cfRule>
    <cfRule type="containsText" dxfId="2188" priority="2391" operator="containsText" text="Not yet due">
      <formula>NOT(ISERROR(SEARCH("Not yet due",I3)))</formula>
    </cfRule>
    <cfRule type="containsText" dxfId="2187" priority="2392" operator="containsText" text="Not Yet Due">
      <formula>NOT(ISERROR(SEARCH("Not Yet Due",I3)))</formula>
    </cfRule>
    <cfRule type="containsText" dxfId="2186" priority="2393" operator="containsText" text="Deferred">
      <formula>NOT(ISERROR(SEARCH("Deferred",I3)))</formula>
    </cfRule>
    <cfRule type="containsText" dxfId="2185" priority="2394" operator="containsText" text="Deleted">
      <formula>NOT(ISERROR(SEARCH("Deleted",I3)))</formula>
    </cfRule>
    <cfRule type="containsText" dxfId="2184" priority="2395" operator="containsText" text="In Danger of Falling Behind Target">
      <formula>NOT(ISERROR(SEARCH("In Danger of Falling Behind Target",I3)))</formula>
    </cfRule>
    <cfRule type="containsText" dxfId="2183" priority="2396" operator="containsText" text="Not yet due">
      <formula>NOT(ISERROR(SEARCH("Not yet due",I3)))</formula>
    </cfRule>
    <cfRule type="containsText" dxfId="2182" priority="2397" operator="containsText" text="Completed Behind Schedule">
      <formula>NOT(ISERROR(SEARCH("Completed Behind Schedule",I3)))</formula>
    </cfRule>
    <cfRule type="containsText" dxfId="2181" priority="2398" operator="containsText" text="Off Target">
      <formula>NOT(ISERROR(SEARCH("Off Target",I3)))</formula>
    </cfRule>
    <cfRule type="containsText" dxfId="2180" priority="2399" operator="containsText" text="In Danger of Falling Behind Target">
      <formula>NOT(ISERROR(SEARCH("In Danger of Falling Behind Target",I3)))</formula>
    </cfRule>
    <cfRule type="containsText" dxfId="2179" priority="2400" operator="containsText" text="On Track to be Achieved">
      <formula>NOT(ISERROR(SEARCH("On Track to be Achieved",I3)))</formula>
    </cfRule>
    <cfRule type="containsText" dxfId="2178" priority="2401" operator="containsText" text="Fully Achieved">
      <formula>NOT(ISERROR(SEARCH("Fully Achieved",I3)))</formula>
    </cfRule>
    <cfRule type="containsText" dxfId="2177" priority="2402" operator="containsText" text="Update not Provided">
      <formula>NOT(ISERROR(SEARCH("Update not Provided",I3)))</formula>
    </cfRule>
    <cfRule type="containsText" dxfId="2176" priority="2403" operator="containsText" text="Not yet due">
      <formula>NOT(ISERROR(SEARCH("Not yet due",I3)))</formula>
    </cfRule>
    <cfRule type="containsText" dxfId="2175" priority="2404" operator="containsText" text="Completed Behind Schedule">
      <formula>NOT(ISERROR(SEARCH("Completed Behind Schedule",I3)))</formula>
    </cfRule>
    <cfRule type="containsText" dxfId="2174" priority="2405" operator="containsText" text="Off Target">
      <formula>NOT(ISERROR(SEARCH("Off Target",I3)))</formula>
    </cfRule>
    <cfRule type="containsText" dxfId="2173" priority="2406" operator="containsText" text="In Danger of Falling Behind Target">
      <formula>NOT(ISERROR(SEARCH("In Danger of Falling Behind Target",I3)))</formula>
    </cfRule>
    <cfRule type="containsText" dxfId="2172" priority="2407" operator="containsText" text="On Track to be Achieved">
      <formula>NOT(ISERROR(SEARCH("On Track to be Achieved",I3)))</formula>
    </cfRule>
    <cfRule type="containsText" dxfId="2171" priority="2408" operator="containsText" text="Fully Achieved">
      <formula>NOT(ISERROR(SEARCH("Fully Achieved",I3)))</formula>
    </cfRule>
    <cfRule type="containsText" dxfId="2170" priority="2409" operator="containsText" text="Fully Achieved">
      <formula>NOT(ISERROR(SEARCH("Fully Achieved",I3)))</formula>
    </cfRule>
    <cfRule type="containsText" dxfId="2169" priority="2410" operator="containsText" text="Fully Achieved">
      <formula>NOT(ISERROR(SEARCH("Fully Achieved",I3)))</formula>
    </cfRule>
    <cfRule type="containsText" dxfId="2168" priority="2411" operator="containsText" text="Deferred">
      <formula>NOT(ISERROR(SEARCH("Deferred",I3)))</formula>
    </cfRule>
    <cfRule type="containsText" dxfId="2167" priority="2412" operator="containsText" text="Deleted">
      <formula>NOT(ISERROR(SEARCH("Deleted",I3)))</formula>
    </cfRule>
    <cfRule type="containsText" dxfId="2166" priority="2413" operator="containsText" text="In Danger of Falling Behind Target">
      <formula>NOT(ISERROR(SEARCH("In Danger of Falling Behind Target",I3)))</formula>
    </cfRule>
    <cfRule type="containsText" dxfId="2165" priority="2414" operator="containsText" text="Not yet due">
      <formula>NOT(ISERROR(SEARCH("Not yet due",I3)))</formula>
    </cfRule>
    <cfRule type="containsText" dxfId="2164" priority="2415" operator="containsText" text="Update not Provided">
      <formula>NOT(ISERROR(SEARCH("Update not Provided",I3)))</formula>
    </cfRule>
  </conditionalFormatting>
  <conditionalFormatting sqref="I13:I30">
    <cfRule type="containsText" dxfId="2163" priority="2344" operator="containsText" text="On track to be achieved">
      <formula>NOT(ISERROR(SEARCH("On track to be achieved",I13)))</formula>
    </cfRule>
    <cfRule type="containsText" dxfId="2162" priority="2345" operator="containsText" text="Deferred">
      <formula>NOT(ISERROR(SEARCH("Deferred",I13)))</formula>
    </cfRule>
    <cfRule type="containsText" dxfId="2161" priority="2346" operator="containsText" text="Deleted">
      <formula>NOT(ISERROR(SEARCH("Deleted",I13)))</formula>
    </cfRule>
    <cfRule type="containsText" dxfId="2160" priority="2347" operator="containsText" text="In Danger of Falling Behind Target">
      <formula>NOT(ISERROR(SEARCH("In Danger of Falling Behind Target",I13)))</formula>
    </cfRule>
    <cfRule type="containsText" dxfId="2159" priority="2348" operator="containsText" text="Not yet due">
      <formula>NOT(ISERROR(SEARCH("Not yet due",I13)))</formula>
    </cfRule>
    <cfRule type="containsText" dxfId="2158" priority="2349" operator="containsText" text="Update not Provided">
      <formula>NOT(ISERROR(SEARCH("Update not Provided",I13)))</formula>
    </cfRule>
    <cfRule type="containsText" dxfId="2157" priority="2350" operator="containsText" text="Not yet due">
      <formula>NOT(ISERROR(SEARCH("Not yet due",I13)))</formula>
    </cfRule>
    <cfRule type="containsText" dxfId="2156" priority="2351" operator="containsText" text="Completed Behind Schedule">
      <formula>NOT(ISERROR(SEARCH("Completed Behind Schedule",I13)))</formula>
    </cfRule>
    <cfRule type="containsText" dxfId="2155" priority="2352" operator="containsText" text="Off Target">
      <formula>NOT(ISERROR(SEARCH("Off Target",I13)))</formula>
    </cfRule>
    <cfRule type="containsText" dxfId="2154" priority="2353" operator="containsText" text="On Track to be Achieved">
      <formula>NOT(ISERROR(SEARCH("On Track to be Achieved",I13)))</formula>
    </cfRule>
    <cfRule type="containsText" dxfId="2153" priority="2354" operator="containsText" text="Fully Achieved">
      <formula>NOT(ISERROR(SEARCH("Fully Achieved",I13)))</formula>
    </cfRule>
    <cfRule type="containsText" dxfId="2152" priority="2355" operator="containsText" text="Not yet due">
      <formula>NOT(ISERROR(SEARCH("Not yet due",I13)))</formula>
    </cfRule>
    <cfRule type="containsText" dxfId="2151" priority="2356" operator="containsText" text="Not Yet Due">
      <formula>NOT(ISERROR(SEARCH("Not Yet Due",I13)))</formula>
    </cfRule>
    <cfRule type="containsText" dxfId="2150" priority="2357" operator="containsText" text="Deferred">
      <formula>NOT(ISERROR(SEARCH("Deferred",I13)))</formula>
    </cfRule>
    <cfRule type="containsText" dxfId="2149" priority="2358" operator="containsText" text="Deleted">
      <formula>NOT(ISERROR(SEARCH("Deleted",I13)))</formula>
    </cfRule>
    <cfRule type="containsText" dxfId="2148" priority="2359" operator="containsText" text="In Danger of Falling Behind Target">
      <formula>NOT(ISERROR(SEARCH("In Danger of Falling Behind Target",I13)))</formula>
    </cfRule>
    <cfRule type="containsText" dxfId="2147" priority="2360" operator="containsText" text="Not yet due">
      <formula>NOT(ISERROR(SEARCH("Not yet due",I13)))</formula>
    </cfRule>
    <cfRule type="containsText" dxfId="2146" priority="2361" operator="containsText" text="Completed Behind Schedule">
      <formula>NOT(ISERROR(SEARCH("Completed Behind Schedule",I13)))</formula>
    </cfRule>
    <cfRule type="containsText" dxfId="2145" priority="2362" operator="containsText" text="Off Target">
      <formula>NOT(ISERROR(SEARCH("Off Target",I13)))</formula>
    </cfRule>
    <cfRule type="containsText" dxfId="2144" priority="2363" operator="containsText" text="In Danger of Falling Behind Target">
      <formula>NOT(ISERROR(SEARCH("In Danger of Falling Behind Target",I13)))</formula>
    </cfRule>
    <cfRule type="containsText" dxfId="2143" priority="2364" operator="containsText" text="On Track to be Achieved">
      <formula>NOT(ISERROR(SEARCH("On Track to be Achieved",I13)))</formula>
    </cfRule>
    <cfRule type="containsText" dxfId="2142" priority="2365" operator="containsText" text="Fully Achieved">
      <formula>NOT(ISERROR(SEARCH("Fully Achieved",I13)))</formula>
    </cfRule>
    <cfRule type="containsText" dxfId="2141" priority="2366" operator="containsText" text="Update not Provided">
      <formula>NOT(ISERROR(SEARCH("Update not Provided",I13)))</formula>
    </cfRule>
    <cfRule type="containsText" dxfId="2140" priority="2367" operator="containsText" text="Not yet due">
      <formula>NOT(ISERROR(SEARCH("Not yet due",I13)))</formula>
    </cfRule>
    <cfRule type="containsText" dxfId="2139" priority="2368" operator="containsText" text="Completed Behind Schedule">
      <formula>NOT(ISERROR(SEARCH("Completed Behind Schedule",I13)))</formula>
    </cfRule>
    <cfRule type="containsText" dxfId="2138" priority="2369" operator="containsText" text="Off Target">
      <formula>NOT(ISERROR(SEARCH("Off Target",I13)))</formula>
    </cfRule>
    <cfRule type="containsText" dxfId="2137" priority="2370" operator="containsText" text="In Danger of Falling Behind Target">
      <formula>NOT(ISERROR(SEARCH("In Danger of Falling Behind Target",I13)))</formula>
    </cfRule>
    <cfRule type="containsText" dxfId="2136" priority="2371" operator="containsText" text="On Track to be Achieved">
      <formula>NOT(ISERROR(SEARCH("On Track to be Achieved",I13)))</formula>
    </cfRule>
    <cfRule type="containsText" dxfId="2135" priority="2372" operator="containsText" text="Fully Achieved">
      <formula>NOT(ISERROR(SEARCH("Fully Achieved",I13)))</formula>
    </cfRule>
    <cfRule type="containsText" dxfId="2134" priority="2373" operator="containsText" text="Fully Achieved">
      <formula>NOT(ISERROR(SEARCH("Fully Achieved",I13)))</formula>
    </cfRule>
    <cfRule type="containsText" dxfId="2133" priority="2374" operator="containsText" text="Fully Achieved">
      <formula>NOT(ISERROR(SEARCH("Fully Achieved",I13)))</formula>
    </cfRule>
    <cfRule type="containsText" dxfId="2132" priority="2375" operator="containsText" text="Deferred">
      <formula>NOT(ISERROR(SEARCH("Deferred",I13)))</formula>
    </cfRule>
    <cfRule type="containsText" dxfId="2131" priority="2376" operator="containsText" text="Deleted">
      <formula>NOT(ISERROR(SEARCH("Deleted",I13)))</formula>
    </cfRule>
    <cfRule type="containsText" dxfId="2130" priority="2377" operator="containsText" text="In Danger of Falling Behind Target">
      <formula>NOT(ISERROR(SEARCH("In Danger of Falling Behind Target",I13)))</formula>
    </cfRule>
    <cfRule type="containsText" dxfId="2129" priority="2378" operator="containsText" text="Not yet due">
      <formula>NOT(ISERROR(SEARCH("Not yet due",I13)))</formula>
    </cfRule>
    <cfRule type="containsText" dxfId="2128" priority="2379" operator="containsText" text="Update not Provided">
      <formula>NOT(ISERROR(SEARCH("Update not Provided",I13)))</formula>
    </cfRule>
  </conditionalFormatting>
  <conditionalFormatting sqref="I31:I41">
    <cfRule type="containsText" dxfId="2127" priority="2308" operator="containsText" text="On track to be achieved">
      <formula>NOT(ISERROR(SEARCH("On track to be achieved",I31)))</formula>
    </cfRule>
    <cfRule type="containsText" dxfId="2126" priority="2309" operator="containsText" text="Deferred">
      <formula>NOT(ISERROR(SEARCH("Deferred",I31)))</formula>
    </cfRule>
    <cfRule type="containsText" dxfId="2125" priority="2310" operator="containsText" text="Deleted">
      <formula>NOT(ISERROR(SEARCH("Deleted",I31)))</formula>
    </cfRule>
    <cfRule type="containsText" dxfId="2124" priority="2311" operator="containsText" text="In Danger of Falling Behind Target">
      <formula>NOT(ISERROR(SEARCH("In Danger of Falling Behind Target",I31)))</formula>
    </cfRule>
    <cfRule type="containsText" dxfId="2123" priority="2312" operator="containsText" text="Not yet due">
      <formula>NOT(ISERROR(SEARCH("Not yet due",I31)))</formula>
    </cfRule>
    <cfRule type="containsText" dxfId="2122" priority="2313" operator="containsText" text="Update not Provided">
      <formula>NOT(ISERROR(SEARCH("Update not Provided",I31)))</formula>
    </cfRule>
    <cfRule type="containsText" dxfId="2121" priority="2314" operator="containsText" text="Not yet due">
      <formula>NOT(ISERROR(SEARCH("Not yet due",I31)))</formula>
    </cfRule>
    <cfRule type="containsText" dxfId="2120" priority="2315" operator="containsText" text="Completed Behind Schedule">
      <formula>NOT(ISERROR(SEARCH("Completed Behind Schedule",I31)))</formula>
    </cfRule>
    <cfRule type="containsText" dxfId="2119" priority="2316" operator="containsText" text="Off Target">
      <formula>NOT(ISERROR(SEARCH("Off Target",I31)))</formula>
    </cfRule>
    <cfRule type="containsText" dxfId="2118" priority="2317" operator="containsText" text="On Track to be Achieved">
      <formula>NOT(ISERROR(SEARCH("On Track to be Achieved",I31)))</formula>
    </cfRule>
    <cfRule type="containsText" dxfId="2117" priority="2318" operator="containsText" text="Fully Achieved">
      <formula>NOT(ISERROR(SEARCH("Fully Achieved",I31)))</formula>
    </cfRule>
    <cfRule type="containsText" dxfId="2116" priority="2319" operator="containsText" text="Not yet due">
      <formula>NOT(ISERROR(SEARCH("Not yet due",I31)))</formula>
    </cfRule>
    <cfRule type="containsText" dxfId="2115" priority="2320" operator="containsText" text="Not Yet Due">
      <formula>NOT(ISERROR(SEARCH("Not Yet Due",I31)))</formula>
    </cfRule>
    <cfRule type="containsText" dxfId="2114" priority="2321" operator="containsText" text="Deferred">
      <formula>NOT(ISERROR(SEARCH("Deferred",I31)))</formula>
    </cfRule>
    <cfRule type="containsText" dxfId="2113" priority="2322" operator="containsText" text="Deleted">
      <formula>NOT(ISERROR(SEARCH("Deleted",I31)))</formula>
    </cfRule>
    <cfRule type="containsText" dxfId="2112" priority="2323" operator="containsText" text="In Danger of Falling Behind Target">
      <formula>NOT(ISERROR(SEARCH("In Danger of Falling Behind Target",I31)))</formula>
    </cfRule>
    <cfRule type="containsText" dxfId="2111" priority="2324" operator="containsText" text="Not yet due">
      <formula>NOT(ISERROR(SEARCH("Not yet due",I31)))</formula>
    </cfRule>
    <cfRule type="containsText" dxfId="2110" priority="2325" operator="containsText" text="Completed Behind Schedule">
      <formula>NOT(ISERROR(SEARCH("Completed Behind Schedule",I31)))</formula>
    </cfRule>
    <cfRule type="containsText" dxfId="2109" priority="2326" operator="containsText" text="Off Target">
      <formula>NOT(ISERROR(SEARCH("Off Target",I31)))</formula>
    </cfRule>
    <cfRule type="containsText" dxfId="2108" priority="2327" operator="containsText" text="In Danger of Falling Behind Target">
      <formula>NOT(ISERROR(SEARCH("In Danger of Falling Behind Target",I31)))</formula>
    </cfRule>
    <cfRule type="containsText" dxfId="2107" priority="2328" operator="containsText" text="On Track to be Achieved">
      <formula>NOT(ISERROR(SEARCH("On Track to be Achieved",I31)))</formula>
    </cfRule>
    <cfRule type="containsText" dxfId="2106" priority="2329" operator="containsText" text="Fully Achieved">
      <formula>NOT(ISERROR(SEARCH("Fully Achieved",I31)))</formula>
    </cfRule>
    <cfRule type="containsText" dxfId="2105" priority="2330" operator="containsText" text="Update not Provided">
      <formula>NOT(ISERROR(SEARCH("Update not Provided",I31)))</formula>
    </cfRule>
    <cfRule type="containsText" dxfId="2104" priority="2331" operator="containsText" text="Not yet due">
      <formula>NOT(ISERROR(SEARCH("Not yet due",I31)))</formula>
    </cfRule>
    <cfRule type="containsText" dxfId="2103" priority="2332" operator="containsText" text="Completed Behind Schedule">
      <formula>NOT(ISERROR(SEARCH("Completed Behind Schedule",I31)))</formula>
    </cfRule>
    <cfRule type="containsText" dxfId="2102" priority="2333" operator="containsText" text="Off Target">
      <formula>NOT(ISERROR(SEARCH("Off Target",I31)))</formula>
    </cfRule>
    <cfRule type="containsText" dxfId="2101" priority="2334" operator="containsText" text="In Danger of Falling Behind Target">
      <formula>NOT(ISERROR(SEARCH("In Danger of Falling Behind Target",I31)))</formula>
    </cfRule>
    <cfRule type="containsText" dxfId="2100" priority="2335" operator="containsText" text="On Track to be Achieved">
      <formula>NOT(ISERROR(SEARCH("On Track to be Achieved",I31)))</formula>
    </cfRule>
    <cfRule type="containsText" dxfId="2099" priority="2336" operator="containsText" text="Fully Achieved">
      <formula>NOT(ISERROR(SEARCH("Fully Achieved",I31)))</formula>
    </cfRule>
    <cfRule type="containsText" dxfId="2098" priority="2337" operator="containsText" text="Fully Achieved">
      <formula>NOT(ISERROR(SEARCH("Fully Achieved",I31)))</formula>
    </cfRule>
    <cfRule type="containsText" dxfId="2097" priority="2338" operator="containsText" text="Fully Achieved">
      <formula>NOT(ISERROR(SEARCH("Fully Achieved",I31)))</formula>
    </cfRule>
    <cfRule type="containsText" dxfId="2096" priority="2339" operator="containsText" text="Deferred">
      <formula>NOT(ISERROR(SEARCH("Deferred",I31)))</formula>
    </cfRule>
    <cfRule type="containsText" dxfId="2095" priority="2340" operator="containsText" text="Deleted">
      <formula>NOT(ISERROR(SEARCH("Deleted",I31)))</formula>
    </cfRule>
    <cfRule type="containsText" dxfId="2094" priority="2341" operator="containsText" text="In Danger of Falling Behind Target">
      <formula>NOT(ISERROR(SEARCH("In Danger of Falling Behind Target",I31)))</formula>
    </cfRule>
    <cfRule type="containsText" dxfId="2093" priority="2342" operator="containsText" text="Not yet due">
      <formula>NOT(ISERROR(SEARCH("Not yet due",I31)))</formula>
    </cfRule>
    <cfRule type="containsText" dxfId="2092" priority="2343" operator="containsText" text="Update not Provided">
      <formula>NOT(ISERROR(SEARCH("Update not Provided",I31)))</formula>
    </cfRule>
  </conditionalFormatting>
  <conditionalFormatting sqref="I42">
    <cfRule type="containsText" dxfId="2091" priority="2272" operator="containsText" text="On track to be achieved">
      <formula>NOT(ISERROR(SEARCH("On track to be achieved",I42)))</formula>
    </cfRule>
    <cfRule type="containsText" dxfId="2090" priority="2273" operator="containsText" text="Deferred">
      <formula>NOT(ISERROR(SEARCH("Deferred",I42)))</formula>
    </cfRule>
    <cfRule type="containsText" dxfId="2089" priority="2274" operator="containsText" text="Deleted">
      <formula>NOT(ISERROR(SEARCH("Deleted",I42)))</formula>
    </cfRule>
    <cfRule type="containsText" dxfId="2088" priority="2275" operator="containsText" text="In Danger of Falling Behind Target">
      <formula>NOT(ISERROR(SEARCH("In Danger of Falling Behind Target",I42)))</formula>
    </cfRule>
    <cfRule type="containsText" dxfId="2087" priority="2276" operator="containsText" text="Not yet due">
      <formula>NOT(ISERROR(SEARCH("Not yet due",I42)))</formula>
    </cfRule>
    <cfRule type="containsText" dxfId="2086" priority="2277" operator="containsText" text="Update not Provided">
      <formula>NOT(ISERROR(SEARCH("Update not Provided",I42)))</formula>
    </cfRule>
    <cfRule type="containsText" dxfId="2085" priority="2278" operator="containsText" text="Not yet due">
      <formula>NOT(ISERROR(SEARCH("Not yet due",I42)))</formula>
    </cfRule>
    <cfRule type="containsText" dxfId="2084" priority="2279" operator="containsText" text="Completed Behind Schedule">
      <formula>NOT(ISERROR(SEARCH("Completed Behind Schedule",I42)))</formula>
    </cfRule>
    <cfRule type="containsText" dxfId="2083" priority="2280" operator="containsText" text="Off Target">
      <formula>NOT(ISERROR(SEARCH("Off Target",I42)))</formula>
    </cfRule>
    <cfRule type="containsText" dxfId="2082" priority="2281" operator="containsText" text="On Track to be Achieved">
      <formula>NOT(ISERROR(SEARCH("On Track to be Achieved",I42)))</formula>
    </cfRule>
    <cfRule type="containsText" dxfId="2081" priority="2282" operator="containsText" text="Fully Achieved">
      <formula>NOT(ISERROR(SEARCH("Fully Achieved",I42)))</formula>
    </cfRule>
    <cfRule type="containsText" dxfId="2080" priority="2283" operator="containsText" text="Not yet due">
      <formula>NOT(ISERROR(SEARCH("Not yet due",I42)))</formula>
    </cfRule>
    <cfRule type="containsText" dxfId="2079" priority="2284" operator="containsText" text="Not Yet Due">
      <formula>NOT(ISERROR(SEARCH("Not Yet Due",I42)))</formula>
    </cfRule>
    <cfRule type="containsText" dxfId="2078" priority="2285" operator="containsText" text="Deferred">
      <formula>NOT(ISERROR(SEARCH("Deferred",I42)))</formula>
    </cfRule>
    <cfRule type="containsText" dxfId="2077" priority="2286" operator="containsText" text="Deleted">
      <formula>NOT(ISERROR(SEARCH("Deleted",I42)))</formula>
    </cfRule>
    <cfRule type="containsText" dxfId="2076" priority="2287" operator="containsText" text="In Danger of Falling Behind Target">
      <formula>NOT(ISERROR(SEARCH("In Danger of Falling Behind Target",I42)))</formula>
    </cfRule>
    <cfRule type="containsText" dxfId="2075" priority="2288" operator="containsText" text="Not yet due">
      <formula>NOT(ISERROR(SEARCH("Not yet due",I42)))</formula>
    </cfRule>
    <cfRule type="containsText" dxfId="2074" priority="2289" operator="containsText" text="Completed Behind Schedule">
      <formula>NOT(ISERROR(SEARCH("Completed Behind Schedule",I42)))</formula>
    </cfRule>
    <cfRule type="containsText" dxfId="2073" priority="2290" operator="containsText" text="Off Target">
      <formula>NOT(ISERROR(SEARCH("Off Target",I42)))</formula>
    </cfRule>
    <cfRule type="containsText" dxfId="2072" priority="2291" operator="containsText" text="In Danger of Falling Behind Target">
      <formula>NOT(ISERROR(SEARCH("In Danger of Falling Behind Target",I42)))</formula>
    </cfRule>
    <cfRule type="containsText" dxfId="2071" priority="2292" operator="containsText" text="On Track to be Achieved">
      <formula>NOT(ISERROR(SEARCH("On Track to be Achieved",I42)))</formula>
    </cfRule>
    <cfRule type="containsText" dxfId="2070" priority="2293" operator="containsText" text="Fully Achieved">
      <formula>NOT(ISERROR(SEARCH("Fully Achieved",I42)))</formula>
    </cfRule>
    <cfRule type="containsText" dxfId="2069" priority="2294" operator="containsText" text="Update not Provided">
      <formula>NOT(ISERROR(SEARCH("Update not Provided",I42)))</formula>
    </cfRule>
    <cfRule type="containsText" dxfId="2068" priority="2295" operator="containsText" text="Not yet due">
      <formula>NOT(ISERROR(SEARCH("Not yet due",I42)))</formula>
    </cfRule>
    <cfRule type="containsText" dxfId="2067" priority="2296" operator="containsText" text="Completed Behind Schedule">
      <formula>NOT(ISERROR(SEARCH("Completed Behind Schedule",I42)))</formula>
    </cfRule>
    <cfRule type="containsText" dxfId="2066" priority="2297" operator="containsText" text="Off Target">
      <formula>NOT(ISERROR(SEARCH("Off Target",I42)))</formula>
    </cfRule>
    <cfRule type="containsText" dxfId="2065" priority="2298" operator="containsText" text="In Danger of Falling Behind Target">
      <formula>NOT(ISERROR(SEARCH("In Danger of Falling Behind Target",I42)))</formula>
    </cfRule>
    <cfRule type="containsText" dxfId="2064" priority="2299" operator="containsText" text="On Track to be Achieved">
      <formula>NOT(ISERROR(SEARCH("On Track to be Achieved",I42)))</formula>
    </cfRule>
    <cfRule type="containsText" dxfId="2063" priority="2300" operator="containsText" text="Fully Achieved">
      <formula>NOT(ISERROR(SEARCH("Fully Achieved",I42)))</formula>
    </cfRule>
    <cfRule type="containsText" dxfId="2062" priority="2301" operator="containsText" text="Fully Achieved">
      <formula>NOT(ISERROR(SEARCH("Fully Achieved",I42)))</formula>
    </cfRule>
    <cfRule type="containsText" dxfId="2061" priority="2302" operator="containsText" text="Fully Achieved">
      <formula>NOT(ISERROR(SEARCH("Fully Achieved",I42)))</formula>
    </cfRule>
    <cfRule type="containsText" dxfId="2060" priority="2303" operator="containsText" text="Deferred">
      <formula>NOT(ISERROR(SEARCH("Deferred",I42)))</formula>
    </cfRule>
    <cfRule type="containsText" dxfId="2059" priority="2304" operator="containsText" text="Deleted">
      <formula>NOT(ISERROR(SEARCH("Deleted",I42)))</formula>
    </cfRule>
    <cfRule type="containsText" dxfId="2058" priority="2305" operator="containsText" text="In Danger of Falling Behind Target">
      <formula>NOT(ISERROR(SEARCH("In Danger of Falling Behind Target",I42)))</formula>
    </cfRule>
    <cfRule type="containsText" dxfId="2057" priority="2306" operator="containsText" text="Not yet due">
      <formula>NOT(ISERROR(SEARCH("Not yet due",I42)))</formula>
    </cfRule>
    <cfRule type="containsText" dxfId="2056" priority="2307" operator="containsText" text="Update not Provided">
      <formula>NOT(ISERROR(SEARCH("Update not Provided",I42)))</formula>
    </cfRule>
  </conditionalFormatting>
  <conditionalFormatting sqref="I42">
    <cfRule type="containsText" dxfId="2055" priority="2236" operator="containsText" text="On track to be achieved">
      <formula>NOT(ISERROR(SEARCH("On track to be achieved",I42)))</formula>
    </cfRule>
    <cfRule type="containsText" dxfId="2054" priority="2237" operator="containsText" text="Deferred">
      <formula>NOT(ISERROR(SEARCH("Deferred",I42)))</formula>
    </cfRule>
    <cfRule type="containsText" dxfId="2053" priority="2238" operator="containsText" text="Deleted">
      <formula>NOT(ISERROR(SEARCH("Deleted",I42)))</formula>
    </cfRule>
    <cfRule type="containsText" dxfId="2052" priority="2239" operator="containsText" text="In Danger of Falling Behind Target">
      <formula>NOT(ISERROR(SEARCH("In Danger of Falling Behind Target",I42)))</formula>
    </cfRule>
    <cfRule type="containsText" dxfId="2051" priority="2240" operator="containsText" text="Not yet due">
      <formula>NOT(ISERROR(SEARCH("Not yet due",I42)))</formula>
    </cfRule>
    <cfRule type="containsText" dxfId="2050" priority="2241" operator="containsText" text="Update not Provided">
      <formula>NOT(ISERROR(SEARCH("Update not Provided",I42)))</formula>
    </cfRule>
    <cfRule type="containsText" dxfId="2049" priority="2242" operator="containsText" text="Not yet due">
      <formula>NOT(ISERROR(SEARCH("Not yet due",I42)))</formula>
    </cfRule>
    <cfRule type="containsText" dxfId="2048" priority="2243" operator="containsText" text="Completed Behind Schedule">
      <formula>NOT(ISERROR(SEARCH("Completed Behind Schedule",I42)))</formula>
    </cfRule>
    <cfRule type="containsText" dxfId="2047" priority="2244" operator="containsText" text="Off Target">
      <formula>NOT(ISERROR(SEARCH("Off Target",I42)))</formula>
    </cfRule>
    <cfRule type="containsText" dxfId="2046" priority="2245" operator="containsText" text="On Track to be Achieved">
      <formula>NOT(ISERROR(SEARCH("On Track to be Achieved",I42)))</formula>
    </cfRule>
    <cfRule type="containsText" dxfId="2045" priority="2246" operator="containsText" text="Fully Achieved">
      <formula>NOT(ISERROR(SEARCH("Fully Achieved",I42)))</formula>
    </cfRule>
    <cfRule type="containsText" dxfId="2044" priority="2247" operator="containsText" text="Not yet due">
      <formula>NOT(ISERROR(SEARCH("Not yet due",I42)))</formula>
    </cfRule>
    <cfRule type="containsText" dxfId="2043" priority="2248" operator="containsText" text="Not Yet Due">
      <formula>NOT(ISERROR(SEARCH("Not Yet Due",I42)))</formula>
    </cfRule>
    <cfRule type="containsText" dxfId="2042" priority="2249" operator="containsText" text="Deferred">
      <formula>NOT(ISERROR(SEARCH("Deferred",I42)))</formula>
    </cfRule>
    <cfRule type="containsText" dxfId="2041" priority="2250" operator="containsText" text="Deleted">
      <formula>NOT(ISERROR(SEARCH("Deleted",I42)))</formula>
    </cfRule>
    <cfRule type="containsText" dxfId="2040" priority="2251" operator="containsText" text="In Danger of Falling Behind Target">
      <formula>NOT(ISERROR(SEARCH("In Danger of Falling Behind Target",I42)))</formula>
    </cfRule>
    <cfRule type="containsText" dxfId="2039" priority="2252" operator="containsText" text="Not yet due">
      <formula>NOT(ISERROR(SEARCH("Not yet due",I42)))</formula>
    </cfRule>
    <cfRule type="containsText" dxfId="2038" priority="2253" operator="containsText" text="Completed Behind Schedule">
      <formula>NOT(ISERROR(SEARCH("Completed Behind Schedule",I42)))</formula>
    </cfRule>
    <cfRule type="containsText" dxfId="2037" priority="2254" operator="containsText" text="Off Target">
      <formula>NOT(ISERROR(SEARCH("Off Target",I42)))</formula>
    </cfRule>
    <cfRule type="containsText" dxfId="2036" priority="2255" operator="containsText" text="In Danger of Falling Behind Target">
      <formula>NOT(ISERROR(SEARCH("In Danger of Falling Behind Target",I42)))</formula>
    </cfRule>
    <cfRule type="containsText" dxfId="2035" priority="2256" operator="containsText" text="On Track to be Achieved">
      <formula>NOT(ISERROR(SEARCH("On Track to be Achieved",I42)))</formula>
    </cfRule>
    <cfRule type="containsText" dxfId="2034" priority="2257" operator="containsText" text="Fully Achieved">
      <formula>NOT(ISERROR(SEARCH("Fully Achieved",I42)))</formula>
    </cfRule>
    <cfRule type="containsText" dxfId="2033" priority="2258" operator="containsText" text="Update not Provided">
      <formula>NOT(ISERROR(SEARCH("Update not Provided",I42)))</formula>
    </cfRule>
    <cfRule type="containsText" dxfId="2032" priority="2259" operator="containsText" text="Not yet due">
      <formula>NOT(ISERROR(SEARCH("Not yet due",I42)))</formula>
    </cfRule>
    <cfRule type="containsText" dxfId="2031" priority="2260" operator="containsText" text="Completed Behind Schedule">
      <formula>NOT(ISERROR(SEARCH("Completed Behind Schedule",I42)))</formula>
    </cfRule>
    <cfRule type="containsText" dxfId="2030" priority="2261" operator="containsText" text="Off Target">
      <formula>NOT(ISERROR(SEARCH("Off Target",I42)))</formula>
    </cfRule>
    <cfRule type="containsText" dxfId="2029" priority="2262" operator="containsText" text="In Danger of Falling Behind Target">
      <formula>NOT(ISERROR(SEARCH("In Danger of Falling Behind Target",I42)))</formula>
    </cfRule>
    <cfRule type="containsText" dxfId="2028" priority="2263" operator="containsText" text="On Track to be Achieved">
      <formula>NOT(ISERROR(SEARCH("On Track to be Achieved",I42)))</formula>
    </cfRule>
    <cfRule type="containsText" dxfId="2027" priority="2264" operator="containsText" text="Fully Achieved">
      <formula>NOT(ISERROR(SEARCH("Fully Achieved",I42)))</formula>
    </cfRule>
    <cfRule type="containsText" dxfId="2026" priority="2265" operator="containsText" text="Fully Achieved">
      <formula>NOT(ISERROR(SEARCH("Fully Achieved",I42)))</formula>
    </cfRule>
    <cfRule type="containsText" dxfId="2025" priority="2266" operator="containsText" text="Fully Achieved">
      <formula>NOT(ISERROR(SEARCH("Fully Achieved",I42)))</formula>
    </cfRule>
    <cfRule type="containsText" dxfId="2024" priority="2267" operator="containsText" text="Deferred">
      <formula>NOT(ISERROR(SEARCH("Deferred",I42)))</formula>
    </cfRule>
    <cfRule type="containsText" dxfId="2023" priority="2268" operator="containsText" text="Deleted">
      <formula>NOT(ISERROR(SEARCH("Deleted",I42)))</formula>
    </cfRule>
    <cfRule type="containsText" dxfId="2022" priority="2269" operator="containsText" text="In Danger of Falling Behind Target">
      <formula>NOT(ISERROR(SEARCH("In Danger of Falling Behind Target",I42)))</formula>
    </cfRule>
    <cfRule type="containsText" dxfId="2021" priority="2270" operator="containsText" text="Not yet due">
      <formula>NOT(ISERROR(SEARCH("Not yet due",I42)))</formula>
    </cfRule>
    <cfRule type="containsText" dxfId="2020" priority="2271" operator="containsText" text="Update not Provided">
      <formula>NOT(ISERROR(SEARCH("Update not Provided",I42)))</formula>
    </cfRule>
  </conditionalFormatting>
  <conditionalFormatting sqref="I42">
    <cfRule type="containsText" dxfId="2019" priority="2200" operator="containsText" text="On track to be achieved">
      <formula>NOT(ISERROR(SEARCH("On track to be achieved",I42)))</formula>
    </cfRule>
    <cfRule type="containsText" dxfId="2018" priority="2201" operator="containsText" text="Deferred">
      <formula>NOT(ISERROR(SEARCH("Deferred",I42)))</formula>
    </cfRule>
    <cfRule type="containsText" dxfId="2017" priority="2202" operator="containsText" text="Deleted">
      <formula>NOT(ISERROR(SEARCH("Deleted",I42)))</formula>
    </cfRule>
    <cfRule type="containsText" dxfId="2016" priority="2203" operator="containsText" text="In Danger of Falling Behind Target">
      <formula>NOT(ISERROR(SEARCH("In Danger of Falling Behind Target",I42)))</formula>
    </cfRule>
    <cfRule type="containsText" dxfId="2015" priority="2204" operator="containsText" text="Not yet due">
      <formula>NOT(ISERROR(SEARCH("Not yet due",I42)))</formula>
    </cfRule>
    <cfRule type="containsText" dxfId="2014" priority="2205" operator="containsText" text="Update not Provided">
      <formula>NOT(ISERROR(SEARCH("Update not Provided",I42)))</formula>
    </cfRule>
    <cfRule type="containsText" dxfId="2013" priority="2206" operator="containsText" text="Not yet due">
      <formula>NOT(ISERROR(SEARCH("Not yet due",I42)))</formula>
    </cfRule>
    <cfRule type="containsText" dxfId="2012" priority="2207" operator="containsText" text="Completed Behind Schedule">
      <formula>NOT(ISERROR(SEARCH("Completed Behind Schedule",I42)))</formula>
    </cfRule>
    <cfRule type="containsText" dxfId="2011" priority="2208" operator="containsText" text="Off Target">
      <formula>NOT(ISERROR(SEARCH("Off Target",I42)))</formula>
    </cfRule>
    <cfRule type="containsText" dxfId="2010" priority="2209" operator="containsText" text="On Track to be Achieved">
      <formula>NOT(ISERROR(SEARCH("On Track to be Achieved",I42)))</formula>
    </cfRule>
    <cfRule type="containsText" dxfId="2009" priority="2210" operator="containsText" text="Fully Achieved">
      <formula>NOT(ISERROR(SEARCH("Fully Achieved",I42)))</formula>
    </cfRule>
    <cfRule type="containsText" dxfId="2008" priority="2211" operator="containsText" text="Not yet due">
      <formula>NOT(ISERROR(SEARCH("Not yet due",I42)))</formula>
    </cfRule>
    <cfRule type="containsText" dxfId="2007" priority="2212" operator="containsText" text="Not Yet Due">
      <formula>NOT(ISERROR(SEARCH("Not Yet Due",I42)))</formula>
    </cfRule>
    <cfRule type="containsText" dxfId="2006" priority="2213" operator="containsText" text="Deferred">
      <formula>NOT(ISERROR(SEARCH("Deferred",I42)))</formula>
    </cfRule>
    <cfRule type="containsText" dxfId="2005" priority="2214" operator="containsText" text="Deleted">
      <formula>NOT(ISERROR(SEARCH("Deleted",I42)))</formula>
    </cfRule>
    <cfRule type="containsText" dxfId="2004" priority="2215" operator="containsText" text="In Danger of Falling Behind Target">
      <formula>NOT(ISERROR(SEARCH("In Danger of Falling Behind Target",I42)))</formula>
    </cfRule>
    <cfRule type="containsText" dxfId="2003" priority="2216" operator="containsText" text="Not yet due">
      <formula>NOT(ISERROR(SEARCH("Not yet due",I42)))</formula>
    </cfRule>
    <cfRule type="containsText" dxfId="2002" priority="2217" operator="containsText" text="Completed Behind Schedule">
      <formula>NOT(ISERROR(SEARCH("Completed Behind Schedule",I42)))</formula>
    </cfRule>
    <cfRule type="containsText" dxfId="2001" priority="2218" operator="containsText" text="Off Target">
      <formula>NOT(ISERROR(SEARCH("Off Target",I42)))</formula>
    </cfRule>
    <cfRule type="containsText" dxfId="2000" priority="2219" operator="containsText" text="In Danger of Falling Behind Target">
      <formula>NOT(ISERROR(SEARCH("In Danger of Falling Behind Target",I42)))</formula>
    </cfRule>
    <cfRule type="containsText" dxfId="1999" priority="2220" operator="containsText" text="On Track to be Achieved">
      <formula>NOT(ISERROR(SEARCH("On Track to be Achieved",I42)))</formula>
    </cfRule>
    <cfRule type="containsText" dxfId="1998" priority="2221" operator="containsText" text="Fully Achieved">
      <formula>NOT(ISERROR(SEARCH("Fully Achieved",I42)))</formula>
    </cfRule>
    <cfRule type="containsText" dxfId="1997" priority="2222" operator="containsText" text="Update not Provided">
      <formula>NOT(ISERROR(SEARCH("Update not Provided",I42)))</formula>
    </cfRule>
    <cfRule type="containsText" dxfId="1996" priority="2223" operator="containsText" text="Not yet due">
      <formula>NOT(ISERROR(SEARCH("Not yet due",I42)))</formula>
    </cfRule>
    <cfRule type="containsText" dxfId="1995" priority="2224" operator="containsText" text="Completed Behind Schedule">
      <formula>NOT(ISERROR(SEARCH("Completed Behind Schedule",I42)))</formula>
    </cfRule>
    <cfRule type="containsText" dxfId="1994" priority="2225" operator="containsText" text="Off Target">
      <formula>NOT(ISERROR(SEARCH("Off Target",I42)))</formula>
    </cfRule>
    <cfRule type="containsText" dxfId="1993" priority="2226" operator="containsText" text="In Danger of Falling Behind Target">
      <formula>NOT(ISERROR(SEARCH("In Danger of Falling Behind Target",I42)))</formula>
    </cfRule>
    <cfRule type="containsText" dxfId="1992" priority="2227" operator="containsText" text="On Track to be Achieved">
      <formula>NOT(ISERROR(SEARCH("On Track to be Achieved",I42)))</formula>
    </cfRule>
    <cfRule type="containsText" dxfId="1991" priority="2228" operator="containsText" text="Fully Achieved">
      <formula>NOT(ISERROR(SEARCH("Fully Achieved",I42)))</formula>
    </cfRule>
    <cfRule type="containsText" dxfId="1990" priority="2229" operator="containsText" text="Fully Achieved">
      <formula>NOT(ISERROR(SEARCH("Fully Achieved",I42)))</formula>
    </cfRule>
    <cfRule type="containsText" dxfId="1989" priority="2230" operator="containsText" text="Fully Achieved">
      <formula>NOT(ISERROR(SEARCH("Fully Achieved",I42)))</formula>
    </cfRule>
    <cfRule type="containsText" dxfId="1988" priority="2231" operator="containsText" text="Deferred">
      <formula>NOT(ISERROR(SEARCH("Deferred",I42)))</formula>
    </cfRule>
    <cfRule type="containsText" dxfId="1987" priority="2232" operator="containsText" text="Deleted">
      <formula>NOT(ISERROR(SEARCH("Deleted",I42)))</formula>
    </cfRule>
    <cfRule type="containsText" dxfId="1986" priority="2233" operator="containsText" text="In Danger of Falling Behind Target">
      <formula>NOT(ISERROR(SEARCH("In Danger of Falling Behind Target",I42)))</formula>
    </cfRule>
    <cfRule type="containsText" dxfId="1985" priority="2234" operator="containsText" text="Not yet due">
      <formula>NOT(ISERROR(SEARCH("Not yet due",I42)))</formula>
    </cfRule>
    <cfRule type="containsText" dxfId="1984" priority="2235" operator="containsText" text="Update not Provided">
      <formula>NOT(ISERROR(SEARCH("Update not Provided",I42)))</formula>
    </cfRule>
  </conditionalFormatting>
  <conditionalFormatting sqref="I43:I49">
    <cfRule type="containsText" dxfId="1983" priority="2164" operator="containsText" text="On track to be achieved">
      <formula>NOT(ISERROR(SEARCH("On track to be achieved",I43)))</formula>
    </cfRule>
    <cfRule type="containsText" dxfId="1982" priority="2165" operator="containsText" text="Deferred">
      <formula>NOT(ISERROR(SEARCH("Deferred",I43)))</formula>
    </cfRule>
    <cfRule type="containsText" dxfId="1981" priority="2166" operator="containsText" text="Deleted">
      <formula>NOT(ISERROR(SEARCH("Deleted",I43)))</formula>
    </cfRule>
    <cfRule type="containsText" dxfId="1980" priority="2167" operator="containsText" text="In Danger of Falling Behind Target">
      <formula>NOT(ISERROR(SEARCH("In Danger of Falling Behind Target",I43)))</formula>
    </cfRule>
    <cfRule type="containsText" dxfId="1979" priority="2168" operator="containsText" text="Not yet due">
      <formula>NOT(ISERROR(SEARCH("Not yet due",I43)))</formula>
    </cfRule>
    <cfRule type="containsText" dxfId="1978" priority="2169" operator="containsText" text="Update not Provided">
      <formula>NOT(ISERROR(SEARCH("Update not Provided",I43)))</formula>
    </cfRule>
    <cfRule type="containsText" dxfId="1977" priority="2170" operator="containsText" text="Not yet due">
      <formula>NOT(ISERROR(SEARCH("Not yet due",I43)))</formula>
    </cfRule>
    <cfRule type="containsText" dxfId="1976" priority="2171" operator="containsText" text="Completed Behind Schedule">
      <formula>NOT(ISERROR(SEARCH("Completed Behind Schedule",I43)))</formula>
    </cfRule>
    <cfRule type="containsText" dxfId="1975" priority="2172" operator="containsText" text="Off Target">
      <formula>NOT(ISERROR(SEARCH("Off Target",I43)))</formula>
    </cfRule>
    <cfRule type="containsText" dxfId="1974" priority="2173" operator="containsText" text="On Track to be Achieved">
      <formula>NOT(ISERROR(SEARCH("On Track to be Achieved",I43)))</formula>
    </cfRule>
    <cfRule type="containsText" dxfId="1973" priority="2174" operator="containsText" text="Fully Achieved">
      <formula>NOT(ISERROR(SEARCH("Fully Achieved",I43)))</formula>
    </cfRule>
    <cfRule type="containsText" dxfId="1972" priority="2175" operator="containsText" text="Not yet due">
      <formula>NOT(ISERROR(SEARCH("Not yet due",I43)))</formula>
    </cfRule>
    <cfRule type="containsText" dxfId="1971" priority="2176" operator="containsText" text="Not Yet Due">
      <formula>NOT(ISERROR(SEARCH("Not Yet Due",I43)))</formula>
    </cfRule>
    <cfRule type="containsText" dxfId="1970" priority="2177" operator="containsText" text="Deferred">
      <formula>NOT(ISERROR(SEARCH("Deferred",I43)))</formula>
    </cfRule>
    <cfRule type="containsText" dxfId="1969" priority="2178" operator="containsText" text="Deleted">
      <formula>NOT(ISERROR(SEARCH("Deleted",I43)))</formula>
    </cfRule>
    <cfRule type="containsText" dxfId="1968" priority="2179" operator="containsText" text="In Danger of Falling Behind Target">
      <formula>NOT(ISERROR(SEARCH("In Danger of Falling Behind Target",I43)))</formula>
    </cfRule>
    <cfRule type="containsText" dxfId="1967" priority="2180" operator="containsText" text="Not yet due">
      <formula>NOT(ISERROR(SEARCH("Not yet due",I43)))</formula>
    </cfRule>
    <cfRule type="containsText" dxfId="1966" priority="2181" operator="containsText" text="Completed Behind Schedule">
      <formula>NOT(ISERROR(SEARCH("Completed Behind Schedule",I43)))</formula>
    </cfRule>
    <cfRule type="containsText" dxfId="1965" priority="2182" operator="containsText" text="Off Target">
      <formula>NOT(ISERROR(SEARCH("Off Target",I43)))</formula>
    </cfRule>
    <cfRule type="containsText" dxfId="1964" priority="2183" operator="containsText" text="In Danger of Falling Behind Target">
      <formula>NOT(ISERROR(SEARCH("In Danger of Falling Behind Target",I43)))</formula>
    </cfRule>
    <cfRule type="containsText" dxfId="1963" priority="2184" operator="containsText" text="On Track to be Achieved">
      <formula>NOT(ISERROR(SEARCH("On Track to be Achieved",I43)))</formula>
    </cfRule>
    <cfRule type="containsText" dxfId="1962" priority="2185" operator="containsText" text="Fully Achieved">
      <formula>NOT(ISERROR(SEARCH("Fully Achieved",I43)))</formula>
    </cfRule>
    <cfRule type="containsText" dxfId="1961" priority="2186" operator="containsText" text="Update not Provided">
      <formula>NOT(ISERROR(SEARCH("Update not Provided",I43)))</formula>
    </cfRule>
    <cfRule type="containsText" dxfId="1960" priority="2187" operator="containsText" text="Not yet due">
      <formula>NOT(ISERROR(SEARCH("Not yet due",I43)))</formula>
    </cfRule>
    <cfRule type="containsText" dxfId="1959" priority="2188" operator="containsText" text="Completed Behind Schedule">
      <formula>NOT(ISERROR(SEARCH("Completed Behind Schedule",I43)))</formula>
    </cfRule>
    <cfRule type="containsText" dxfId="1958" priority="2189" operator="containsText" text="Off Target">
      <formula>NOT(ISERROR(SEARCH("Off Target",I43)))</formula>
    </cfRule>
    <cfRule type="containsText" dxfId="1957" priority="2190" operator="containsText" text="In Danger of Falling Behind Target">
      <formula>NOT(ISERROR(SEARCH("In Danger of Falling Behind Target",I43)))</formula>
    </cfRule>
    <cfRule type="containsText" dxfId="1956" priority="2191" operator="containsText" text="On Track to be Achieved">
      <formula>NOT(ISERROR(SEARCH("On Track to be Achieved",I43)))</formula>
    </cfRule>
    <cfRule type="containsText" dxfId="1955" priority="2192" operator="containsText" text="Fully Achieved">
      <formula>NOT(ISERROR(SEARCH("Fully Achieved",I43)))</formula>
    </cfRule>
    <cfRule type="containsText" dxfId="1954" priority="2193" operator="containsText" text="Fully Achieved">
      <formula>NOT(ISERROR(SEARCH("Fully Achieved",I43)))</formula>
    </cfRule>
    <cfRule type="containsText" dxfId="1953" priority="2194" operator="containsText" text="Fully Achieved">
      <formula>NOT(ISERROR(SEARCH("Fully Achieved",I43)))</formula>
    </cfRule>
    <cfRule type="containsText" dxfId="1952" priority="2195" operator="containsText" text="Deferred">
      <formula>NOT(ISERROR(SEARCH("Deferred",I43)))</formula>
    </cfRule>
    <cfRule type="containsText" dxfId="1951" priority="2196" operator="containsText" text="Deleted">
      <formula>NOT(ISERROR(SEARCH("Deleted",I43)))</formula>
    </cfRule>
    <cfRule type="containsText" dxfId="1950" priority="2197" operator="containsText" text="In Danger of Falling Behind Target">
      <formula>NOT(ISERROR(SEARCH("In Danger of Falling Behind Target",I43)))</formula>
    </cfRule>
    <cfRule type="containsText" dxfId="1949" priority="2198" operator="containsText" text="Not yet due">
      <formula>NOT(ISERROR(SEARCH("Not yet due",I43)))</formula>
    </cfRule>
    <cfRule type="containsText" dxfId="1948" priority="2199" operator="containsText" text="Update not Provided">
      <formula>NOT(ISERROR(SEARCH("Update not Provided",I43)))</formula>
    </cfRule>
  </conditionalFormatting>
  <conditionalFormatting sqref="I50">
    <cfRule type="containsText" dxfId="1947" priority="2128" operator="containsText" text="On track to be achieved">
      <formula>NOT(ISERROR(SEARCH("On track to be achieved",I50)))</formula>
    </cfRule>
    <cfRule type="containsText" dxfId="1946" priority="2129" operator="containsText" text="Deferred">
      <formula>NOT(ISERROR(SEARCH("Deferred",I50)))</formula>
    </cfRule>
    <cfRule type="containsText" dxfId="1945" priority="2130" operator="containsText" text="Deleted">
      <formula>NOT(ISERROR(SEARCH("Deleted",I50)))</formula>
    </cfRule>
    <cfRule type="containsText" dxfId="1944" priority="2131" operator="containsText" text="In Danger of Falling Behind Target">
      <formula>NOT(ISERROR(SEARCH("In Danger of Falling Behind Target",I50)))</formula>
    </cfRule>
    <cfRule type="containsText" dxfId="1943" priority="2132" operator="containsText" text="Not yet due">
      <formula>NOT(ISERROR(SEARCH("Not yet due",I50)))</formula>
    </cfRule>
    <cfRule type="containsText" dxfId="1942" priority="2133" operator="containsText" text="Update not Provided">
      <formula>NOT(ISERROR(SEARCH("Update not Provided",I50)))</formula>
    </cfRule>
    <cfRule type="containsText" dxfId="1941" priority="2134" operator="containsText" text="Not yet due">
      <formula>NOT(ISERROR(SEARCH("Not yet due",I50)))</formula>
    </cfRule>
    <cfRule type="containsText" dxfId="1940" priority="2135" operator="containsText" text="Completed Behind Schedule">
      <formula>NOT(ISERROR(SEARCH("Completed Behind Schedule",I50)))</formula>
    </cfRule>
    <cfRule type="containsText" dxfId="1939" priority="2136" operator="containsText" text="Off Target">
      <formula>NOT(ISERROR(SEARCH("Off Target",I50)))</formula>
    </cfRule>
    <cfRule type="containsText" dxfId="1938" priority="2137" operator="containsText" text="On Track to be Achieved">
      <formula>NOT(ISERROR(SEARCH("On Track to be Achieved",I50)))</formula>
    </cfRule>
    <cfRule type="containsText" dxfId="1937" priority="2138" operator="containsText" text="Fully Achieved">
      <formula>NOT(ISERROR(SEARCH("Fully Achieved",I50)))</formula>
    </cfRule>
    <cfRule type="containsText" dxfId="1936" priority="2139" operator="containsText" text="Not yet due">
      <formula>NOT(ISERROR(SEARCH("Not yet due",I50)))</formula>
    </cfRule>
    <cfRule type="containsText" dxfId="1935" priority="2140" operator="containsText" text="Not Yet Due">
      <formula>NOT(ISERROR(SEARCH("Not Yet Due",I50)))</formula>
    </cfRule>
    <cfRule type="containsText" dxfId="1934" priority="2141" operator="containsText" text="Deferred">
      <formula>NOT(ISERROR(SEARCH("Deferred",I50)))</formula>
    </cfRule>
    <cfRule type="containsText" dxfId="1933" priority="2142" operator="containsText" text="Deleted">
      <formula>NOT(ISERROR(SEARCH("Deleted",I50)))</formula>
    </cfRule>
    <cfRule type="containsText" dxfId="1932" priority="2143" operator="containsText" text="In Danger of Falling Behind Target">
      <formula>NOT(ISERROR(SEARCH("In Danger of Falling Behind Target",I50)))</formula>
    </cfRule>
    <cfRule type="containsText" dxfId="1931" priority="2144" operator="containsText" text="Not yet due">
      <formula>NOT(ISERROR(SEARCH("Not yet due",I50)))</formula>
    </cfRule>
    <cfRule type="containsText" dxfId="1930" priority="2145" operator="containsText" text="Completed Behind Schedule">
      <formula>NOT(ISERROR(SEARCH("Completed Behind Schedule",I50)))</formula>
    </cfRule>
    <cfRule type="containsText" dxfId="1929" priority="2146" operator="containsText" text="Off Target">
      <formula>NOT(ISERROR(SEARCH("Off Target",I50)))</formula>
    </cfRule>
    <cfRule type="containsText" dxfId="1928" priority="2147" operator="containsText" text="In Danger of Falling Behind Target">
      <formula>NOT(ISERROR(SEARCH("In Danger of Falling Behind Target",I50)))</formula>
    </cfRule>
    <cfRule type="containsText" dxfId="1927" priority="2148" operator="containsText" text="On Track to be Achieved">
      <formula>NOT(ISERROR(SEARCH("On Track to be Achieved",I50)))</formula>
    </cfRule>
    <cfRule type="containsText" dxfId="1926" priority="2149" operator="containsText" text="Fully Achieved">
      <formula>NOT(ISERROR(SEARCH("Fully Achieved",I50)))</formula>
    </cfRule>
    <cfRule type="containsText" dxfId="1925" priority="2150" operator="containsText" text="Update not Provided">
      <formula>NOT(ISERROR(SEARCH("Update not Provided",I50)))</formula>
    </cfRule>
    <cfRule type="containsText" dxfId="1924" priority="2151" operator="containsText" text="Not yet due">
      <formula>NOT(ISERROR(SEARCH("Not yet due",I50)))</formula>
    </cfRule>
    <cfRule type="containsText" dxfId="1923" priority="2152" operator="containsText" text="Completed Behind Schedule">
      <formula>NOT(ISERROR(SEARCH("Completed Behind Schedule",I50)))</formula>
    </cfRule>
    <cfRule type="containsText" dxfId="1922" priority="2153" operator="containsText" text="Off Target">
      <formula>NOT(ISERROR(SEARCH("Off Target",I50)))</formula>
    </cfRule>
    <cfRule type="containsText" dxfId="1921" priority="2154" operator="containsText" text="In Danger of Falling Behind Target">
      <formula>NOT(ISERROR(SEARCH("In Danger of Falling Behind Target",I50)))</formula>
    </cfRule>
    <cfRule type="containsText" dxfId="1920" priority="2155" operator="containsText" text="On Track to be Achieved">
      <formula>NOT(ISERROR(SEARCH("On Track to be Achieved",I50)))</formula>
    </cfRule>
    <cfRule type="containsText" dxfId="1919" priority="2156" operator="containsText" text="Fully Achieved">
      <formula>NOT(ISERROR(SEARCH("Fully Achieved",I50)))</formula>
    </cfRule>
    <cfRule type="containsText" dxfId="1918" priority="2157" operator="containsText" text="Fully Achieved">
      <formula>NOT(ISERROR(SEARCH("Fully Achieved",I50)))</formula>
    </cfRule>
    <cfRule type="containsText" dxfId="1917" priority="2158" operator="containsText" text="Fully Achieved">
      <formula>NOT(ISERROR(SEARCH("Fully Achieved",I50)))</formula>
    </cfRule>
    <cfRule type="containsText" dxfId="1916" priority="2159" operator="containsText" text="Deferred">
      <formula>NOT(ISERROR(SEARCH("Deferred",I50)))</formula>
    </cfRule>
    <cfRule type="containsText" dxfId="1915" priority="2160" operator="containsText" text="Deleted">
      <formula>NOT(ISERROR(SEARCH("Deleted",I50)))</formula>
    </cfRule>
    <cfRule type="containsText" dxfId="1914" priority="2161" operator="containsText" text="In Danger of Falling Behind Target">
      <formula>NOT(ISERROR(SEARCH("In Danger of Falling Behind Target",I50)))</formula>
    </cfRule>
    <cfRule type="containsText" dxfId="1913" priority="2162" operator="containsText" text="Not yet due">
      <formula>NOT(ISERROR(SEARCH("Not yet due",I50)))</formula>
    </cfRule>
    <cfRule type="containsText" dxfId="1912" priority="2163" operator="containsText" text="Update not Provided">
      <formula>NOT(ISERROR(SEARCH("Update not Provided",I50)))</formula>
    </cfRule>
  </conditionalFormatting>
  <conditionalFormatting sqref="I50">
    <cfRule type="containsText" dxfId="1911" priority="2092" operator="containsText" text="On track to be achieved">
      <formula>NOT(ISERROR(SEARCH("On track to be achieved",I50)))</formula>
    </cfRule>
    <cfRule type="containsText" dxfId="1910" priority="2093" operator="containsText" text="Deferred">
      <formula>NOT(ISERROR(SEARCH("Deferred",I50)))</formula>
    </cfRule>
    <cfRule type="containsText" dxfId="1909" priority="2094" operator="containsText" text="Deleted">
      <formula>NOT(ISERROR(SEARCH("Deleted",I50)))</formula>
    </cfRule>
    <cfRule type="containsText" dxfId="1908" priority="2095" operator="containsText" text="In Danger of Falling Behind Target">
      <formula>NOT(ISERROR(SEARCH("In Danger of Falling Behind Target",I50)))</formula>
    </cfRule>
    <cfRule type="containsText" dxfId="1907" priority="2096" operator="containsText" text="Not yet due">
      <formula>NOT(ISERROR(SEARCH("Not yet due",I50)))</formula>
    </cfRule>
    <cfRule type="containsText" dxfId="1906" priority="2097" operator="containsText" text="Update not Provided">
      <formula>NOT(ISERROR(SEARCH("Update not Provided",I50)))</formula>
    </cfRule>
    <cfRule type="containsText" dxfId="1905" priority="2098" operator="containsText" text="Not yet due">
      <formula>NOT(ISERROR(SEARCH("Not yet due",I50)))</formula>
    </cfRule>
    <cfRule type="containsText" dxfId="1904" priority="2099" operator="containsText" text="Completed Behind Schedule">
      <formula>NOT(ISERROR(SEARCH("Completed Behind Schedule",I50)))</formula>
    </cfRule>
    <cfRule type="containsText" dxfId="1903" priority="2100" operator="containsText" text="Off Target">
      <formula>NOT(ISERROR(SEARCH("Off Target",I50)))</formula>
    </cfRule>
    <cfRule type="containsText" dxfId="1902" priority="2101" operator="containsText" text="On Track to be Achieved">
      <formula>NOT(ISERROR(SEARCH("On Track to be Achieved",I50)))</formula>
    </cfRule>
    <cfRule type="containsText" dxfId="1901" priority="2102" operator="containsText" text="Fully Achieved">
      <formula>NOT(ISERROR(SEARCH("Fully Achieved",I50)))</formula>
    </cfRule>
    <cfRule type="containsText" dxfId="1900" priority="2103" operator="containsText" text="Not yet due">
      <formula>NOT(ISERROR(SEARCH("Not yet due",I50)))</formula>
    </cfRule>
    <cfRule type="containsText" dxfId="1899" priority="2104" operator="containsText" text="Not Yet Due">
      <formula>NOT(ISERROR(SEARCH("Not Yet Due",I50)))</formula>
    </cfRule>
    <cfRule type="containsText" dxfId="1898" priority="2105" operator="containsText" text="Deferred">
      <formula>NOT(ISERROR(SEARCH("Deferred",I50)))</formula>
    </cfRule>
    <cfRule type="containsText" dxfId="1897" priority="2106" operator="containsText" text="Deleted">
      <formula>NOT(ISERROR(SEARCH("Deleted",I50)))</formula>
    </cfRule>
    <cfRule type="containsText" dxfId="1896" priority="2107" operator="containsText" text="In Danger of Falling Behind Target">
      <formula>NOT(ISERROR(SEARCH("In Danger of Falling Behind Target",I50)))</formula>
    </cfRule>
    <cfRule type="containsText" dxfId="1895" priority="2108" operator="containsText" text="Not yet due">
      <formula>NOT(ISERROR(SEARCH("Not yet due",I50)))</formula>
    </cfRule>
    <cfRule type="containsText" dxfId="1894" priority="2109" operator="containsText" text="Completed Behind Schedule">
      <formula>NOT(ISERROR(SEARCH("Completed Behind Schedule",I50)))</formula>
    </cfRule>
    <cfRule type="containsText" dxfId="1893" priority="2110" operator="containsText" text="Off Target">
      <formula>NOT(ISERROR(SEARCH("Off Target",I50)))</formula>
    </cfRule>
    <cfRule type="containsText" dxfId="1892" priority="2111" operator="containsText" text="In Danger of Falling Behind Target">
      <formula>NOT(ISERROR(SEARCH("In Danger of Falling Behind Target",I50)))</formula>
    </cfRule>
    <cfRule type="containsText" dxfId="1891" priority="2112" operator="containsText" text="On Track to be Achieved">
      <formula>NOT(ISERROR(SEARCH("On Track to be Achieved",I50)))</formula>
    </cfRule>
    <cfRule type="containsText" dxfId="1890" priority="2113" operator="containsText" text="Fully Achieved">
      <formula>NOT(ISERROR(SEARCH("Fully Achieved",I50)))</formula>
    </cfRule>
    <cfRule type="containsText" dxfId="1889" priority="2114" operator="containsText" text="Update not Provided">
      <formula>NOT(ISERROR(SEARCH("Update not Provided",I50)))</formula>
    </cfRule>
    <cfRule type="containsText" dxfId="1888" priority="2115" operator="containsText" text="Not yet due">
      <formula>NOT(ISERROR(SEARCH("Not yet due",I50)))</formula>
    </cfRule>
    <cfRule type="containsText" dxfId="1887" priority="2116" operator="containsText" text="Completed Behind Schedule">
      <formula>NOT(ISERROR(SEARCH("Completed Behind Schedule",I50)))</formula>
    </cfRule>
    <cfRule type="containsText" dxfId="1886" priority="2117" operator="containsText" text="Off Target">
      <formula>NOT(ISERROR(SEARCH("Off Target",I50)))</formula>
    </cfRule>
    <cfRule type="containsText" dxfId="1885" priority="2118" operator="containsText" text="In Danger of Falling Behind Target">
      <formula>NOT(ISERROR(SEARCH("In Danger of Falling Behind Target",I50)))</formula>
    </cfRule>
    <cfRule type="containsText" dxfId="1884" priority="2119" operator="containsText" text="On Track to be Achieved">
      <formula>NOT(ISERROR(SEARCH("On Track to be Achieved",I50)))</formula>
    </cfRule>
    <cfRule type="containsText" dxfId="1883" priority="2120" operator="containsText" text="Fully Achieved">
      <formula>NOT(ISERROR(SEARCH("Fully Achieved",I50)))</formula>
    </cfRule>
    <cfRule type="containsText" dxfId="1882" priority="2121" operator="containsText" text="Fully Achieved">
      <formula>NOT(ISERROR(SEARCH("Fully Achieved",I50)))</formula>
    </cfRule>
    <cfRule type="containsText" dxfId="1881" priority="2122" operator="containsText" text="Fully Achieved">
      <formula>NOT(ISERROR(SEARCH("Fully Achieved",I50)))</formula>
    </cfRule>
    <cfRule type="containsText" dxfId="1880" priority="2123" operator="containsText" text="Deferred">
      <formula>NOT(ISERROR(SEARCH("Deferred",I50)))</formula>
    </cfRule>
    <cfRule type="containsText" dxfId="1879" priority="2124" operator="containsText" text="Deleted">
      <formula>NOT(ISERROR(SEARCH("Deleted",I50)))</formula>
    </cfRule>
    <cfRule type="containsText" dxfId="1878" priority="2125" operator="containsText" text="In Danger of Falling Behind Target">
      <formula>NOT(ISERROR(SEARCH("In Danger of Falling Behind Target",I50)))</formula>
    </cfRule>
    <cfRule type="containsText" dxfId="1877" priority="2126" operator="containsText" text="Not yet due">
      <formula>NOT(ISERROR(SEARCH("Not yet due",I50)))</formula>
    </cfRule>
    <cfRule type="containsText" dxfId="1876" priority="2127" operator="containsText" text="Update not Provided">
      <formula>NOT(ISERROR(SEARCH("Update not Provided",I50)))</formula>
    </cfRule>
  </conditionalFormatting>
  <conditionalFormatting sqref="I50">
    <cfRule type="containsText" dxfId="1875" priority="2056" operator="containsText" text="On track to be achieved">
      <formula>NOT(ISERROR(SEARCH("On track to be achieved",I50)))</formula>
    </cfRule>
    <cfRule type="containsText" dxfId="1874" priority="2057" operator="containsText" text="Deferred">
      <formula>NOT(ISERROR(SEARCH("Deferred",I50)))</formula>
    </cfRule>
    <cfRule type="containsText" dxfId="1873" priority="2058" operator="containsText" text="Deleted">
      <formula>NOT(ISERROR(SEARCH("Deleted",I50)))</formula>
    </cfRule>
    <cfRule type="containsText" dxfId="1872" priority="2059" operator="containsText" text="In Danger of Falling Behind Target">
      <formula>NOT(ISERROR(SEARCH("In Danger of Falling Behind Target",I50)))</formula>
    </cfRule>
    <cfRule type="containsText" dxfId="1871" priority="2060" operator="containsText" text="Not yet due">
      <formula>NOT(ISERROR(SEARCH("Not yet due",I50)))</formula>
    </cfRule>
    <cfRule type="containsText" dxfId="1870" priority="2061" operator="containsText" text="Update not Provided">
      <formula>NOT(ISERROR(SEARCH("Update not Provided",I50)))</formula>
    </cfRule>
    <cfRule type="containsText" dxfId="1869" priority="2062" operator="containsText" text="Not yet due">
      <formula>NOT(ISERROR(SEARCH("Not yet due",I50)))</formula>
    </cfRule>
    <cfRule type="containsText" dxfId="1868" priority="2063" operator="containsText" text="Completed Behind Schedule">
      <formula>NOT(ISERROR(SEARCH("Completed Behind Schedule",I50)))</formula>
    </cfRule>
    <cfRule type="containsText" dxfId="1867" priority="2064" operator="containsText" text="Off Target">
      <formula>NOT(ISERROR(SEARCH("Off Target",I50)))</formula>
    </cfRule>
    <cfRule type="containsText" dxfId="1866" priority="2065" operator="containsText" text="On Track to be Achieved">
      <formula>NOT(ISERROR(SEARCH("On Track to be Achieved",I50)))</formula>
    </cfRule>
    <cfRule type="containsText" dxfId="1865" priority="2066" operator="containsText" text="Fully Achieved">
      <formula>NOT(ISERROR(SEARCH("Fully Achieved",I50)))</formula>
    </cfRule>
    <cfRule type="containsText" dxfId="1864" priority="2067" operator="containsText" text="Not yet due">
      <formula>NOT(ISERROR(SEARCH("Not yet due",I50)))</formula>
    </cfRule>
    <cfRule type="containsText" dxfId="1863" priority="2068" operator="containsText" text="Not Yet Due">
      <formula>NOT(ISERROR(SEARCH("Not Yet Due",I50)))</formula>
    </cfRule>
    <cfRule type="containsText" dxfId="1862" priority="2069" operator="containsText" text="Deferred">
      <formula>NOT(ISERROR(SEARCH("Deferred",I50)))</formula>
    </cfRule>
    <cfRule type="containsText" dxfId="1861" priority="2070" operator="containsText" text="Deleted">
      <formula>NOT(ISERROR(SEARCH("Deleted",I50)))</formula>
    </cfRule>
    <cfRule type="containsText" dxfId="1860" priority="2071" operator="containsText" text="In Danger of Falling Behind Target">
      <formula>NOT(ISERROR(SEARCH("In Danger of Falling Behind Target",I50)))</formula>
    </cfRule>
    <cfRule type="containsText" dxfId="1859" priority="2072" operator="containsText" text="Not yet due">
      <formula>NOT(ISERROR(SEARCH("Not yet due",I50)))</formula>
    </cfRule>
    <cfRule type="containsText" dxfId="1858" priority="2073" operator="containsText" text="Completed Behind Schedule">
      <formula>NOT(ISERROR(SEARCH("Completed Behind Schedule",I50)))</formula>
    </cfRule>
    <cfRule type="containsText" dxfId="1857" priority="2074" operator="containsText" text="Off Target">
      <formula>NOT(ISERROR(SEARCH("Off Target",I50)))</formula>
    </cfRule>
    <cfRule type="containsText" dxfId="1856" priority="2075" operator="containsText" text="In Danger of Falling Behind Target">
      <formula>NOT(ISERROR(SEARCH("In Danger of Falling Behind Target",I50)))</formula>
    </cfRule>
    <cfRule type="containsText" dxfId="1855" priority="2076" operator="containsText" text="On Track to be Achieved">
      <formula>NOT(ISERROR(SEARCH("On Track to be Achieved",I50)))</formula>
    </cfRule>
    <cfRule type="containsText" dxfId="1854" priority="2077" operator="containsText" text="Fully Achieved">
      <formula>NOT(ISERROR(SEARCH("Fully Achieved",I50)))</formula>
    </cfRule>
    <cfRule type="containsText" dxfId="1853" priority="2078" operator="containsText" text="Update not Provided">
      <formula>NOT(ISERROR(SEARCH("Update not Provided",I50)))</formula>
    </cfRule>
    <cfRule type="containsText" dxfId="1852" priority="2079" operator="containsText" text="Not yet due">
      <formula>NOT(ISERROR(SEARCH("Not yet due",I50)))</formula>
    </cfRule>
    <cfRule type="containsText" dxfId="1851" priority="2080" operator="containsText" text="Completed Behind Schedule">
      <formula>NOT(ISERROR(SEARCH("Completed Behind Schedule",I50)))</formula>
    </cfRule>
    <cfRule type="containsText" dxfId="1850" priority="2081" operator="containsText" text="Off Target">
      <formula>NOT(ISERROR(SEARCH("Off Target",I50)))</formula>
    </cfRule>
    <cfRule type="containsText" dxfId="1849" priority="2082" operator="containsText" text="In Danger of Falling Behind Target">
      <formula>NOT(ISERROR(SEARCH("In Danger of Falling Behind Target",I50)))</formula>
    </cfRule>
    <cfRule type="containsText" dxfId="1848" priority="2083" operator="containsText" text="On Track to be Achieved">
      <formula>NOT(ISERROR(SEARCH("On Track to be Achieved",I50)))</formula>
    </cfRule>
    <cfRule type="containsText" dxfId="1847" priority="2084" operator="containsText" text="Fully Achieved">
      <formula>NOT(ISERROR(SEARCH("Fully Achieved",I50)))</formula>
    </cfRule>
    <cfRule type="containsText" dxfId="1846" priority="2085" operator="containsText" text="Fully Achieved">
      <formula>NOT(ISERROR(SEARCH("Fully Achieved",I50)))</formula>
    </cfRule>
    <cfRule type="containsText" dxfId="1845" priority="2086" operator="containsText" text="Fully Achieved">
      <formula>NOT(ISERROR(SEARCH("Fully Achieved",I50)))</formula>
    </cfRule>
    <cfRule type="containsText" dxfId="1844" priority="2087" operator="containsText" text="Deferred">
      <formula>NOT(ISERROR(SEARCH("Deferred",I50)))</formula>
    </cfRule>
    <cfRule type="containsText" dxfId="1843" priority="2088" operator="containsText" text="Deleted">
      <formula>NOT(ISERROR(SEARCH("Deleted",I50)))</formula>
    </cfRule>
    <cfRule type="containsText" dxfId="1842" priority="2089" operator="containsText" text="In Danger of Falling Behind Target">
      <formula>NOT(ISERROR(SEARCH("In Danger of Falling Behind Target",I50)))</formula>
    </cfRule>
    <cfRule type="containsText" dxfId="1841" priority="2090" operator="containsText" text="Not yet due">
      <formula>NOT(ISERROR(SEARCH("Not yet due",I50)))</formula>
    </cfRule>
    <cfRule type="containsText" dxfId="1840" priority="2091" operator="containsText" text="Update not Provided">
      <formula>NOT(ISERROR(SEARCH("Update not Provided",I50)))</formula>
    </cfRule>
  </conditionalFormatting>
  <conditionalFormatting sqref="I51:I60">
    <cfRule type="containsText" dxfId="1839" priority="2020" operator="containsText" text="On track to be achieved">
      <formula>NOT(ISERROR(SEARCH("On track to be achieved",I51)))</formula>
    </cfRule>
    <cfRule type="containsText" dxfId="1838" priority="2021" operator="containsText" text="Deferred">
      <formula>NOT(ISERROR(SEARCH("Deferred",I51)))</formula>
    </cfRule>
    <cfRule type="containsText" dxfId="1837" priority="2022" operator="containsText" text="Deleted">
      <formula>NOT(ISERROR(SEARCH("Deleted",I51)))</formula>
    </cfRule>
    <cfRule type="containsText" dxfId="1836" priority="2023" operator="containsText" text="In Danger of Falling Behind Target">
      <formula>NOT(ISERROR(SEARCH("In Danger of Falling Behind Target",I51)))</formula>
    </cfRule>
    <cfRule type="containsText" dxfId="1835" priority="2024" operator="containsText" text="Not yet due">
      <formula>NOT(ISERROR(SEARCH("Not yet due",I51)))</formula>
    </cfRule>
    <cfRule type="containsText" dxfId="1834" priority="2025" operator="containsText" text="Update not Provided">
      <formula>NOT(ISERROR(SEARCH("Update not Provided",I51)))</formula>
    </cfRule>
    <cfRule type="containsText" dxfId="1833" priority="2026" operator="containsText" text="Not yet due">
      <formula>NOT(ISERROR(SEARCH("Not yet due",I51)))</formula>
    </cfRule>
    <cfRule type="containsText" dxfId="1832" priority="2027" operator="containsText" text="Completed Behind Schedule">
      <formula>NOT(ISERROR(SEARCH("Completed Behind Schedule",I51)))</formula>
    </cfRule>
    <cfRule type="containsText" dxfId="1831" priority="2028" operator="containsText" text="Off Target">
      <formula>NOT(ISERROR(SEARCH("Off Target",I51)))</formula>
    </cfRule>
    <cfRule type="containsText" dxfId="1830" priority="2029" operator="containsText" text="On Track to be Achieved">
      <formula>NOT(ISERROR(SEARCH("On Track to be Achieved",I51)))</formula>
    </cfRule>
    <cfRule type="containsText" dxfId="1829" priority="2030" operator="containsText" text="Fully Achieved">
      <formula>NOT(ISERROR(SEARCH("Fully Achieved",I51)))</formula>
    </cfRule>
    <cfRule type="containsText" dxfId="1828" priority="2031" operator="containsText" text="Not yet due">
      <formula>NOT(ISERROR(SEARCH("Not yet due",I51)))</formula>
    </cfRule>
    <cfRule type="containsText" dxfId="1827" priority="2032" operator="containsText" text="Not Yet Due">
      <formula>NOT(ISERROR(SEARCH("Not Yet Due",I51)))</formula>
    </cfRule>
    <cfRule type="containsText" dxfId="1826" priority="2033" operator="containsText" text="Deferred">
      <formula>NOT(ISERROR(SEARCH("Deferred",I51)))</formula>
    </cfRule>
    <cfRule type="containsText" dxfId="1825" priority="2034" operator="containsText" text="Deleted">
      <formula>NOT(ISERROR(SEARCH("Deleted",I51)))</formula>
    </cfRule>
    <cfRule type="containsText" dxfId="1824" priority="2035" operator="containsText" text="In Danger of Falling Behind Target">
      <formula>NOT(ISERROR(SEARCH("In Danger of Falling Behind Target",I51)))</formula>
    </cfRule>
    <cfRule type="containsText" dxfId="1823" priority="2036" operator="containsText" text="Not yet due">
      <formula>NOT(ISERROR(SEARCH("Not yet due",I51)))</formula>
    </cfRule>
    <cfRule type="containsText" dxfId="1822" priority="2037" operator="containsText" text="Completed Behind Schedule">
      <formula>NOT(ISERROR(SEARCH("Completed Behind Schedule",I51)))</formula>
    </cfRule>
    <cfRule type="containsText" dxfId="1821" priority="2038" operator="containsText" text="Off Target">
      <formula>NOT(ISERROR(SEARCH("Off Target",I51)))</formula>
    </cfRule>
    <cfRule type="containsText" dxfId="1820" priority="2039" operator="containsText" text="In Danger of Falling Behind Target">
      <formula>NOT(ISERROR(SEARCH("In Danger of Falling Behind Target",I51)))</formula>
    </cfRule>
    <cfRule type="containsText" dxfId="1819" priority="2040" operator="containsText" text="On Track to be Achieved">
      <formula>NOT(ISERROR(SEARCH("On Track to be Achieved",I51)))</formula>
    </cfRule>
    <cfRule type="containsText" dxfId="1818" priority="2041" operator="containsText" text="Fully Achieved">
      <formula>NOT(ISERROR(SEARCH("Fully Achieved",I51)))</formula>
    </cfRule>
    <cfRule type="containsText" dxfId="1817" priority="2042" operator="containsText" text="Update not Provided">
      <formula>NOT(ISERROR(SEARCH("Update not Provided",I51)))</formula>
    </cfRule>
    <cfRule type="containsText" dxfId="1816" priority="2043" operator="containsText" text="Not yet due">
      <formula>NOT(ISERROR(SEARCH("Not yet due",I51)))</formula>
    </cfRule>
    <cfRule type="containsText" dxfId="1815" priority="2044" operator="containsText" text="Completed Behind Schedule">
      <formula>NOT(ISERROR(SEARCH("Completed Behind Schedule",I51)))</formula>
    </cfRule>
    <cfRule type="containsText" dxfId="1814" priority="2045" operator="containsText" text="Off Target">
      <formula>NOT(ISERROR(SEARCH("Off Target",I51)))</formula>
    </cfRule>
    <cfRule type="containsText" dxfId="1813" priority="2046" operator="containsText" text="In Danger of Falling Behind Target">
      <formula>NOT(ISERROR(SEARCH("In Danger of Falling Behind Target",I51)))</formula>
    </cfRule>
    <cfRule type="containsText" dxfId="1812" priority="2047" operator="containsText" text="On Track to be Achieved">
      <formula>NOT(ISERROR(SEARCH("On Track to be Achieved",I51)))</formula>
    </cfRule>
    <cfRule type="containsText" dxfId="1811" priority="2048" operator="containsText" text="Fully Achieved">
      <formula>NOT(ISERROR(SEARCH("Fully Achieved",I51)))</formula>
    </cfRule>
    <cfRule type="containsText" dxfId="1810" priority="2049" operator="containsText" text="Fully Achieved">
      <formula>NOT(ISERROR(SEARCH("Fully Achieved",I51)))</formula>
    </cfRule>
    <cfRule type="containsText" dxfId="1809" priority="2050" operator="containsText" text="Fully Achieved">
      <formula>NOT(ISERROR(SEARCH("Fully Achieved",I51)))</formula>
    </cfRule>
    <cfRule type="containsText" dxfId="1808" priority="2051" operator="containsText" text="Deferred">
      <formula>NOT(ISERROR(SEARCH("Deferred",I51)))</formula>
    </cfRule>
    <cfRule type="containsText" dxfId="1807" priority="2052" operator="containsText" text="Deleted">
      <formula>NOT(ISERROR(SEARCH("Deleted",I51)))</formula>
    </cfRule>
    <cfRule type="containsText" dxfId="1806" priority="2053" operator="containsText" text="In Danger of Falling Behind Target">
      <formula>NOT(ISERROR(SEARCH("In Danger of Falling Behind Target",I51)))</formula>
    </cfRule>
    <cfRule type="containsText" dxfId="1805" priority="2054" operator="containsText" text="Not yet due">
      <formula>NOT(ISERROR(SEARCH("Not yet due",I51)))</formula>
    </cfRule>
    <cfRule type="containsText" dxfId="1804" priority="2055" operator="containsText" text="Update not Provided">
      <formula>NOT(ISERROR(SEARCH("Update not Provided",I51)))</formula>
    </cfRule>
  </conditionalFormatting>
  <conditionalFormatting sqref="I62:I68">
    <cfRule type="containsText" dxfId="1803" priority="1984" operator="containsText" text="On track to be achieved">
      <formula>NOT(ISERROR(SEARCH("On track to be achieved",I62)))</formula>
    </cfRule>
    <cfRule type="containsText" dxfId="1802" priority="1985" operator="containsText" text="Deferred">
      <formula>NOT(ISERROR(SEARCH("Deferred",I62)))</formula>
    </cfRule>
    <cfRule type="containsText" dxfId="1801" priority="1986" operator="containsText" text="Deleted">
      <formula>NOT(ISERROR(SEARCH("Deleted",I62)))</formula>
    </cfRule>
    <cfRule type="containsText" dxfId="1800" priority="1987" operator="containsText" text="In Danger of Falling Behind Target">
      <formula>NOT(ISERROR(SEARCH("In Danger of Falling Behind Target",I62)))</formula>
    </cfRule>
    <cfRule type="containsText" dxfId="1799" priority="1988" operator="containsText" text="Not yet due">
      <formula>NOT(ISERROR(SEARCH("Not yet due",I62)))</formula>
    </cfRule>
    <cfRule type="containsText" dxfId="1798" priority="1989" operator="containsText" text="Update not Provided">
      <formula>NOT(ISERROR(SEARCH("Update not Provided",I62)))</formula>
    </cfRule>
    <cfRule type="containsText" dxfId="1797" priority="1990" operator="containsText" text="Not yet due">
      <formula>NOT(ISERROR(SEARCH("Not yet due",I62)))</formula>
    </cfRule>
    <cfRule type="containsText" dxfId="1796" priority="1991" operator="containsText" text="Completed Behind Schedule">
      <formula>NOT(ISERROR(SEARCH("Completed Behind Schedule",I62)))</formula>
    </cfRule>
    <cfRule type="containsText" dxfId="1795" priority="1992" operator="containsText" text="Off Target">
      <formula>NOT(ISERROR(SEARCH("Off Target",I62)))</formula>
    </cfRule>
    <cfRule type="containsText" dxfId="1794" priority="1993" operator="containsText" text="On Track to be Achieved">
      <formula>NOT(ISERROR(SEARCH("On Track to be Achieved",I62)))</formula>
    </cfRule>
    <cfRule type="containsText" dxfId="1793" priority="1994" operator="containsText" text="Fully Achieved">
      <formula>NOT(ISERROR(SEARCH("Fully Achieved",I62)))</formula>
    </cfRule>
    <cfRule type="containsText" dxfId="1792" priority="1995" operator="containsText" text="Not yet due">
      <formula>NOT(ISERROR(SEARCH("Not yet due",I62)))</formula>
    </cfRule>
    <cfRule type="containsText" dxfId="1791" priority="1996" operator="containsText" text="Not Yet Due">
      <formula>NOT(ISERROR(SEARCH("Not Yet Due",I62)))</formula>
    </cfRule>
    <cfRule type="containsText" dxfId="1790" priority="1997" operator="containsText" text="Deferred">
      <formula>NOT(ISERROR(SEARCH("Deferred",I62)))</formula>
    </cfRule>
    <cfRule type="containsText" dxfId="1789" priority="1998" operator="containsText" text="Deleted">
      <formula>NOT(ISERROR(SEARCH("Deleted",I62)))</formula>
    </cfRule>
    <cfRule type="containsText" dxfId="1788" priority="1999" operator="containsText" text="In Danger of Falling Behind Target">
      <formula>NOT(ISERROR(SEARCH("In Danger of Falling Behind Target",I62)))</formula>
    </cfRule>
    <cfRule type="containsText" dxfId="1787" priority="2000" operator="containsText" text="Not yet due">
      <formula>NOT(ISERROR(SEARCH("Not yet due",I62)))</formula>
    </cfRule>
    <cfRule type="containsText" dxfId="1786" priority="2001" operator="containsText" text="Completed Behind Schedule">
      <formula>NOT(ISERROR(SEARCH("Completed Behind Schedule",I62)))</formula>
    </cfRule>
    <cfRule type="containsText" dxfId="1785" priority="2002" operator="containsText" text="Off Target">
      <formula>NOT(ISERROR(SEARCH("Off Target",I62)))</formula>
    </cfRule>
    <cfRule type="containsText" dxfId="1784" priority="2003" operator="containsText" text="In Danger of Falling Behind Target">
      <formula>NOT(ISERROR(SEARCH("In Danger of Falling Behind Target",I62)))</formula>
    </cfRule>
    <cfRule type="containsText" dxfId="1783" priority="2004" operator="containsText" text="On Track to be Achieved">
      <formula>NOT(ISERROR(SEARCH("On Track to be Achieved",I62)))</formula>
    </cfRule>
    <cfRule type="containsText" dxfId="1782" priority="2005" operator="containsText" text="Fully Achieved">
      <formula>NOT(ISERROR(SEARCH("Fully Achieved",I62)))</formula>
    </cfRule>
    <cfRule type="containsText" dxfId="1781" priority="2006" operator="containsText" text="Update not Provided">
      <formula>NOT(ISERROR(SEARCH("Update not Provided",I62)))</formula>
    </cfRule>
    <cfRule type="containsText" dxfId="1780" priority="2007" operator="containsText" text="Not yet due">
      <formula>NOT(ISERROR(SEARCH("Not yet due",I62)))</formula>
    </cfRule>
    <cfRule type="containsText" dxfId="1779" priority="2008" operator="containsText" text="Completed Behind Schedule">
      <formula>NOT(ISERROR(SEARCH("Completed Behind Schedule",I62)))</formula>
    </cfRule>
    <cfRule type="containsText" dxfId="1778" priority="2009" operator="containsText" text="Off Target">
      <formula>NOT(ISERROR(SEARCH("Off Target",I62)))</formula>
    </cfRule>
    <cfRule type="containsText" dxfId="1777" priority="2010" operator="containsText" text="In Danger of Falling Behind Target">
      <formula>NOT(ISERROR(SEARCH("In Danger of Falling Behind Target",I62)))</formula>
    </cfRule>
    <cfRule type="containsText" dxfId="1776" priority="2011" operator="containsText" text="On Track to be Achieved">
      <formula>NOT(ISERROR(SEARCH("On Track to be Achieved",I62)))</formula>
    </cfRule>
    <cfRule type="containsText" dxfId="1775" priority="2012" operator="containsText" text="Fully Achieved">
      <formula>NOT(ISERROR(SEARCH("Fully Achieved",I62)))</formula>
    </cfRule>
    <cfRule type="containsText" dxfId="1774" priority="2013" operator="containsText" text="Fully Achieved">
      <formula>NOT(ISERROR(SEARCH("Fully Achieved",I62)))</formula>
    </cfRule>
    <cfRule type="containsText" dxfId="1773" priority="2014" operator="containsText" text="Fully Achieved">
      <formula>NOT(ISERROR(SEARCH("Fully Achieved",I62)))</formula>
    </cfRule>
    <cfRule type="containsText" dxfId="1772" priority="2015" operator="containsText" text="Deferred">
      <formula>NOT(ISERROR(SEARCH("Deferred",I62)))</formula>
    </cfRule>
    <cfRule type="containsText" dxfId="1771" priority="2016" operator="containsText" text="Deleted">
      <formula>NOT(ISERROR(SEARCH("Deleted",I62)))</formula>
    </cfRule>
    <cfRule type="containsText" dxfId="1770" priority="2017" operator="containsText" text="In Danger of Falling Behind Target">
      <formula>NOT(ISERROR(SEARCH("In Danger of Falling Behind Target",I62)))</formula>
    </cfRule>
    <cfRule type="containsText" dxfId="1769" priority="2018" operator="containsText" text="Not yet due">
      <formula>NOT(ISERROR(SEARCH("Not yet due",I62)))</formula>
    </cfRule>
    <cfRule type="containsText" dxfId="1768" priority="2019" operator="containsText" text="Update not Provided">
      <formula>NOT(ISERROR(SEARCH("Update not Provided",I62)))</formula>
    </cfRule>
  </conditionalFormatting>
  <conditionalFormatting sqref="I69">
    <cfRule type="containsText" dxfId="1767" priority="1948" operator="containsText" text="On track to be achieved">
      <formula>NOT(ISERROR(SEARCH("On track to be achieved",I69)))</formula>
    </cfRule>
    <cfRule type="containsText" dxfId="1766" priority="1949" operator="containsText" text="Deferred">
      <formula>NOT(ISERROR(SEARCH("Deferred",I69)))</formula>
    </cfRule>
    <cfRule type="containsText" dxfId="1765" priority="1950" operator="containsText" text="Deleted">
      <formula>NOT(ISERROR(SEARCH("Deleted",I69)))</formula>
    </cfRule>
    <cfRule type="containsText" dxfId="1764" priority="1951" operator="containsText" text="In Danger of Falling Behind Target">
      <formula>NOT(ISERROR(SEARCH("In Danger of Falling Behind Target",I69)))</formula>
    </cfRule>
    <cfRule type="containsText" dxfId="1763" priority="1952" operator="containsText" text="Not yet due">
      <formula>NOT(ISERROR(SEARCH("Not yet due",I69)))</formula>
    </cfRule>
    <cfRule type="containsText" dxfId="1762" priority="1953" operator="containsText" text="Update not Provided">
      <formula>NOT(ISERROR(SEARCH("Update not Provided",I69)))</formula>
    </cfRule>
    <cfRule type="containsText" dxfId="1761" priority="1954" operator="containsText" text="Not yet due">
      <formula>NOT(ISERROR(SEARCH("Not yet due",I69)))</formula>
    </cfRule>
    <cfRule type="containsText" dxfId="1760" priority="1955" operator="containsText" text="Completed Behind Schedule">
      <formula>NOT(ISERROR(SEARCH("Completed Behind Schedule",I69)))</formula>
    </cfRule>
    <cfRule type="containsText" dxfId="1759" priority="1956" operator="containsText" text="Off Target">
      <formula>NOT(ISERROR(SEARCH("Off Target",I69)))</formula>
    </cfRule>
    <cfRule type="containsText" dxfId="1758" priority="1957" operator="containsText" text="On Track to be Achieved">
      <formula>NOT(ISERROR(SEARCH("On Track to be Achieved",I69)))</formula>
    </cfRule>
    <cfRule type="containsText" dxfId="1757" priority="1958" operator="containsText" text="Fully Achieved">
      <formula>NOT(ISERROR(SEARCH("Fully Achieved",I69)))</formula>
    </cfRule>
    <cfRule type="containsText" dxfId="1756" priority="1959" operator="containsText" text="Not yet due">
      <formula>NOT(ISERROR(SEARCH("Not yet due",I69)))</formula>
    </cfRule>
    <cfRule type="containsText" dxfId="1755" priority="1960" operator="containsText" text="Not Yet Due">
      <formula>NOT(ISERROR(SEARCH("Not Yet Due",I69)))</formula>
    </cfRule>
    <cfRule type="containsText" dxfId="1754" priority="1961" operator="containsText" text="Deferred">
      <formula>NOT(ISERROR(SEARCH("Deferred",I69)))</formula>
    </cfRule>
    <cfRule type="containsText" dxfId="1753" priority="1962" operator="containsText" text="Deleted">
      <formula>NOT(ISERROR(SEARCH("Deleted",I69)))</formula>
    </cfRule>
    <cfRule type="containsText" dxfId="1752" priority="1963" operator="containsText" text="In Danger of Falling Behind Target">
      <formula>NOT(ISERROR(SEARCH("In Danger of Falling Behind Target",I69)))</formula>
    </cfRule>
    <cfRule type="containsText" dxfId="1751" priority="1964" operator="containsText" text="Not yet due">
      <formula>NOT(ISERROR(SEARCH("Not yet due",I69)))</formula>
    </cfRule>
    <cfRule type="containsText" dxfId="1750" priority="1965" operator="containsText" text="Completed Behind Schedule">
      <formula>NOT(ISERROR(SEARCH("Completed Behind Schedule",I69)))</formula>
    </cfRule>
    <cfRule type="containsText" dxfId="1749" priority="1966" operator="containsText" text="Off Target">
      <formula>NOT(ISERROR(SEARCH("Off Target",I69)))</formula>
    </cfRule>
    <cfRule type="containsText" dxfId="1748" priority="1967" operator="containsText" text="In Danger of Falling Behind Target">
      <formula>NOT(ISERROR(SEARCH("In Danger of Falling Behind Target",I69)))</formula>
    </cfRule>
    <cfRule type="containsText" dxfId="1747" priority="1968" operator="containsText" text="On Track to be Achieved">
      <formula>NOT(ISERROR(SEARCH("On Track to be Achieved",I69)))</formula>
    </cfRule>
    <cfRule type="containsText" dxfId="1746" priority="1969" operator="containsText" text="Fully Achieved">
      <formula>NOT(ISERROR(SEARCH("Fully Achieved",I69)))</formula>
    </cfRule>
    <cfRule type="containsText" dxfId="1745" priority="1970" operator="containsText" text="Update not Provided">
      <formula>NOT(ISERROR(SEARCH("Update not Provided",I69)))</formula>
    </cfRule>
    <cfRule type="containsText" dxfId="1744" priority="1971" operator="containsText" text="Not yet due">
      <formula>NOT(ISERROR(SEARCH("Not yet due",I69)))</formula>
    </cfRule>
    <cfRule type="containsText" dxfId="1743" priority="1972" operator="containsText" text="Completed Behind Schedule">
      <formula>NOT(ISERROR(SEARCH("Completed Behind Schedule",I69)))</formula>
    </cfRule>
    <cfRule type="containsText" dxfId="1742" priority="1973" operator="containsText" text="Off Target">
      <formula>NOT(ISERROR(SEARCH("Off Target",I69)))</formula>
    </cfRule>
    <cfRule type="containsText" dxfId="1741" priority="1974" operator="containsText" text="In Danger of Falling Behind Target">
      <formula>NOT(ISERROR(SEARCH("In Danger of Falling Behind Target",I69)))</formula>
    </cfRule>
    <cfRule type="containsText" dxfId="1740" priority="1975" operator="containsText" text="On Track to be Achieved">
      <formula>NOT(ISERROR(SEARCH("On Track to be Achieved",I69)))</formula>
    </cfRule>
    <cfRule type="containsText" dxfId="1739" priority="1976" operator="containsText" text="Fully Achieved">
      <formula>NOT(ISERROR(SEARCH("Fully Achieved",I69)))</formula>
    </cfRule>
    <cfRule type="containsText" dxfId="1738" priority="1977" operator="containsText" text="Fully Achieved">
      <formula>NOT(ISERROR(SEARCH("Fully Achieved",I69)))</formula>
    </cfRule>
    <cfRule type="containsText" dxfId="1737" priority="1978" operator="containsText" text="Fully Achieved">
      <formula>NOT(ISERROR(SEARCH("Fully Achieved",I69)))</formula>
    </cfRule>
    <cfRule type="containsText" dxfId="1736" priority="1979" operator="containsText" text="Deferred">
      <formula>NOT(ISERROR(SEARCH("Deferred",I69)))</formula>
    </cfRule>
    <cfRule type="containsText" dxfId="1735" priority="1980" operator="containsText" text="Deleted">
      <formula>NOT(ISERROR(SEARCH("Deleted",I69)))</formula>
    </cfRule>
    <cfRule type="containsText" dxfId="1734" priority="1981" operator="containsText" text="In Danger of Falling Behind Target">
      <formula>NOT(ISERROR(SEARCH("In Danger of Falling Behind Target",I69)))</formula>
    </cfRule>
    <cfRule type="containsText" dxfId="1733" priority="1982" operator="containsText" text="Not yet due">
      <formula>NOT(ISERROR(SEARCH("Not yet due",I69)))</formula>
    </cfRule>
    <cfRule type="containsText" dxfId="1732" priority="1983" operator="containsText" text="Update not Provided">
      <formula>NOT(ISERROR(SEARCH("Update not Provided",I69)))</formula>
    </cfRule>
  </conditionalFormatting>
  <conditionalFormatting sqref="I69">
    <cfRule type="containsText" dxfId="1731" priority="1912" operator="containsText" text="On track to be achieved">
      <formula>NOT(ISERROR(SEARCH("On track to be achieved",I69)))</formula>
    </cfRule>
    <cfRule type="containsText" dxfId="1730" priority="1913" operator="containsText" text="Deferred">
      <formula>NOT(ISERROR(SEARCH("Deferred",I69)))</formula>
    </cfRule>
    <cfRule type="containsText" dxfId="1729" priority="1914" operator="containsText" text="Deleted">
      <formula>NOT(ISERROR(SEARCH("Deleted",I69)))</formula>
    </cfRule>
    <cfRule type="containsText" dxfId="1728" priority="1915" operator="containsText" text="In Danger of Falling Behind Target">
      <formula>NOT(ISERROR(SEARCH("In Danger of Falling Behind Target",I69)))</formula>
    </cfRule>
    <cfRule type="containsText" dxfId="1727" priority="1916" operator="containsText" text="Not yet due">
      <formula>NOT(ISERROR(SEARCH("Not yet due",I69)))</formula>
    </cfRule>
    <cfRule type="containsText" dxfId="1726" priority="1917" operator="containsText" text="Update not Provided">
      <formula>NOT(ISERROR(SEARCH("Update not Provided",I69)))</formula>
    </cfRule>
    <cfRule type="containsText" dxfId="1725" priority="1918" operator="containsText" text="Not yet due">
      <formula>NOT(ISERROR(SEARCH("Not yet due",I69)))</formula>
    </cfRule>
    <cfRule type="containsText" dxfId="1724" priority="1919" operator="containsText" text="Completed Behind Schedule">
      <formula>NOT(ISERROR(SEARCH("Completed Behind Schedule",I69)))</formula>
    </cfRule>
    <cfRule type="containsText" dxfId="1723" priority="1920" operator="containsText" text="Off Target">
      <formula>NOT(ISERROR(SEARCH("Off Target",I69)))</formula>
    </cfRule>
    <cfRule type="containsText" dxfId="1722" priority="1921" operator="containsText" text="On Track to be Achieved">
      <formula>NOT(ISERROR(SEARCH("On Track to be Achieved",I69)))</formula>
    </cfRule>
    <cfRule type="containsText" dxfId="1721" priority="1922" operator="containsText" text="Fully Achieved">
      <formula>NOT(ISERROR(SEARCH("Fully Achieved",I69)))</formula>
    </cfRule>
    <cfRule type="containsText" dxfId="1720" priority="1923" operator="containsText" text="Not yet due">
      <formula>NOT(ISERROR(SEARCH("Not yet due",I69)))</formula>
    </cfRule>
    <cfRule type="containsText" dxfId="1719" priority="1924" operator="containsText" text="Not Yet Due">
      <formula>NOT(ISERROR(SEARCH("Not Yet Due",I69)))</formula>
    </cfRule>
    <cfRule type="containsText" dxfId="1718" priority="1925" operator="containsText" text="Deferred">
      <formula>NOT(ISERROR(SEARCH("Deferred",I69)))</formula>
    </cfRule>
    <cfRule type="containsText" dxfId="1717" priority="1926" operator="containsText" text="Deleted">
      <formula>NOT(ISERROR(SEARCH("Deleted",I69)))</formula>
    </cfRule>
    <cfRule type="containsText" dxfId="1716" priority="1927" operator="containsText" text="In Danger of Falling Behind Target">
      <formula>NOT(ISERROR(SEARCH("In Danger of Falling Behind Target",I69)))</formula>
    </cfRule>
    <cfRule type="containsText" dxfId="1715" priority="1928" operator="containsText" text="Not yet due">
      <formula>NOT(ISERROR(SEARCH("Not yet due",I69)))</formula>
    </cfRule>
    <cfRule type="containsText" dxfId="1714" priority="1929" operator="containsText" text="Completed Behind Schedule">
      <formula>NOT(ISERROR(SEARCH("Completed Behind Schedule",I69)))</formula>
    </cfRule>
    <cfRule type="containsText" dxfId="1713" priority="1930" operator="containsText" text="Off Target">
      <formula>NOT(ISERROR(SEARCH("Off Target",I69)))</formula>
    </cfRule>
    <cfRule type="containsText" dxfId="1712" priority="1931" operator="containsText" text="In Danger of Falling Behind Target">
      <formula>NOT(ISERROR(SEARCH("In Danger of Falling Behind Target",I69)))</formula>
    </cfRule>
    <cfRule type="containsText" dxfId="1711" priority="1932" operator="containsText" text="On Track to be Achieved">
      <formula>NOT(ISERROR(SEARCH("On Track to be Achieved",I69)))</formula>
    </cfRule>
    <cfRule type="containsText" dxfId="1710" priority="1933" operator="containsText" text="Fully Achieved">
      <formula>NOT(ISERROR(SEARCH("Fully Achieved",I69)))</formula>
    </cfRule>
    <cfRule type="containsText" dxfId="1709" priority="1934" operator="containsText" text="Update not Provided">
      <formula>NOT(ISERROR(SEARCH("Update not Provided",I69)))</formula>
    </cfRule>
    <cfRule type="containsText" dxfId="1708" priority="1935" operator="containsText" text="Not yet due">
      <formula>NOT(ISERROR(SEARCH("Not yet due",I69)))</formula>
    </cfRule>
    <cfRule type="containsText" dxfId="1707" priority="1936" operator="containsText" text="Completed Behind Schedule">
      <formula>NOT(ISERROR(SEARCH("Completed Behind Schedule",I69)))</formula>
    </cfRule>
    <cfRule type="containsText" dxfId="1706" priority="1937" operator="containsText" text="Off Target">
      <formula>NOT(ISERROR(SEARCH("Off Target",I69)))</formula>
    </cfRule>
    <cfRule type="containsText" dxfId="1705" priority="1938" operator="containsText" text="In Danger of Falling Behind Target">
      <formula>NOT(ISERROR(SEARCH("In Danger of Falling Behind Target",I69)))</formula>
    </cfRule>
    <cfRule type="containsText" dxfId="1704" priority="1939" operator="containsText" text="On Track to be Achieved">
      <formula>NOT(ISERROR(SEARCH("On Track to be Achieved",I69)))</formula>
    </cfRule>
    <cfRule type="containsText" dxfId="1703" priority="1940" operator="containsText" text="Fully Achieved">
      <formula>NOT(ISERROR(SEARCH("Fully Achieved",I69)))</formula>
    </cfRule>
    <cfRule type="containsText" dxfId="1702" priority="1941" operator="containsText" text="Fully Achieved">
      <formula>NOT(ISERROR(SEARCH("Fully Achieved",I69)))</formula>
    </cfRule>
    <cfRule type="containsText" dxfId="1701" priority="1942" operator="containsText" text="Fully Achieved">
      <formula>NOT(ISERROR(SEARCH("Fully Achieved",I69)))</formula>
    </cfRule>
    <cfRule type="containsText" dxfId="1700" priority="1943" operator="containsText" text="Deferred">
      <formula>NOT(ISERROR(SEARCH("Deferred",I69)))</formula>
    </cfRule>
    <cfRule type="containsText" dxfId="1699" priority="1944" operator="containsText" text="Deleted">
      <formula>NOT(ISERROR(SEARCH("Deleted",I69)))</formula>
    </cfRule>
    <cfRule type="containsText" dxfId="1698" priority="1945" operator="containsText" text="In Danger of Falling Behind Target">
      <formula>NOT(ISERROR(SEARCH("In Danger of Falling Behind Target",I69)))</formula>
    </cfRule>
    <cfRule type="containsText" dxfId="1697" priority="1946" operator="containsText" text="Not yet due">
      <formula>NOT(ISERROR(SEARCH("Not yet due",I69)))</formula>
    </cfRule>
    <cfRule type="containsText" dxfId="1696" priority="1947" operator="containsText" text="Update not Provided">
      <formula>NOT(ISERROR(SEARCH("Update not Provided",I69)))</formula>
    </cfRule>
  </conditionalFormatting>
  <conditionalFormatting sqref="I69">
    <cfRule type="containsText" dxfId="1695" priority="1876" operator="containsText" text="On track to be achieved">
      <formula>NOT(ISERROR(SEARCH("On track to be achieved",I69)))</formula>
    </cfRule>
    <cfRule type="containsText" dxfId="1694" priority="1877" operator="containsText" text="Deferred">
      <formula>NOT(ISERROR(SEARCH("Deferred",I69)))</formula>
    </cfRule>
    <cfRule type="containsText" dxfId="1693" priority="1878" operator="containsText" text="Deleted">
      <formula>NOT(ISERROR(SEARCH("Deleted",I69)))</formula>
    </cfRule>
    <cfRule type="containsText" dxfId="1692" priority="1879" operator="containsText" text="In Danger of Falling Behind Target">
      <formula>NOT(ISERROR(SEARCH("In Danger of Falling Behind Target",I69)))</formula>
    </cfRule>
    <cfRule type="containsText" dxfId="1691" priority="1880" operator="containsText" text="Not yet due">
      <formula>NOT(ISERROR(SEARCH("Not yet due",I69)))</formula>
    </cfRule>
    <cfRule type="containsText" dxfId="1690" priority="1881" operator="containsText" text="Update not Provided">
      <formula>NOT(ISERROR(SEARCH("Update not Provided",I69)))</formula>
    </cfRule>
    <cfRule type="containsText" dxfId="1689" priority="1882" operator="containsText" text="Not yet due">
      <formula>NOT(ISERROR(SEARCH("Not yet due",I69)))</formula>
    </cfRule>
    <cfRule type="containsText" dxfId="1688" priority="1883" operator="containsText" text="Completed Behind Schedule">
      <formula>NOT(ISERROR(SEARCH("Completed Behind Schedule",I69)))</formula>
    </cfRule>
    <cfRule type="containsText" dxfId="1687" priority="1884" operator="containsText" text="Off Target">
      <formula>NOT(ISERROR(SEARCH("Off Target",I69)))</formula>
    </cfRule>
    <cfRule type="containsText" dxfId="1686" priority="1885" operator="containsText" text="On Track to be Achieved">
      <formula>NOT(ISERROR(SEARCH("On Track to be Achieved",I69)))</formula>
    </cfRule>
    <cfRule type="containsText" dxfId="1685" priority="1886" operator="containsText" text="Fully Achieved">
      <formula>NOT(ISERROR(SEARCH("Fully Achieved",I69)))</formula>
    </cfRule>
    <cfRule type="containsText" dxfId="1684" priority="1887" operator="containsText" text="Not yet due">
      <formula>NOT(ISERROR(SEARCH("Not yet due",I69)))</formula>
    </cfRule>
    <cfRule type="containsText" dxfId="1683" priority="1888" operator="containsText" text="Not Yet Due">
      <formula>NOT(ISERROR(SEARCH("Not Yet Due",I69)))</formula>
    </cfRule>
    <cfRule type="containsText" dxfId="1682" priority="1889" operator="containsText" text="Deferred">
      <formula>NOT(ISERROR(SEARCH("Deferred",I69)))</formula>
    </cfRule>
    <cfRule type="containsText" dxfId="1681" priority="1890" operator="containsText" text="Deleted">
      <formula>NOT(ISERROR(SEARCH("Deleted",I69)))</formula>
    </cfRule>
    <cfRule type="containsText" dxfId="1680" priority="1891" operator="containsText" text="In Danger of Falling Behind Target">
      <formula>NOT(ISERROR(SEARCH("In Danger of Falling Behind Target",I69)))</formula>
    </cfRule>
    <cfRule type="containsText" dxfId="1679" priority="1892" operator="containsText" text="Not yet due">
      <formula>NOT(ISERROR(SEARCH("Not yet due",I69)))</formula>
    </cfRule>
    <cfRule type="containsText" dxfId="1678" priority="1893" operator="containsText" text="Completed Behind Schedule">
      <formula>NOT(ISERROR(SEARCH("Completed Behind Schedule",I69)))</formula>
    </cfRule>
    <cfRule type="containsText" dxfId="1677" priority="1894" operator="containsText" text="Off Target">
      <formula>NOT(ISERROR(SEARCH("Off Target",I69)))</formula>
    </cfRule>
    <cfRule type="containsText" dxfId="1676" priority="1895" operator="containsText" text="In Danger of Falling Behind Target">
      <formula>NOT(ISERROR(SEARCH("In Danger of Falling Behind Target",I69)))</formula>
    </cfRule>
    <cfRule type="containsText" dxfId="1675" priority="1896" operator="containsText" text="On Track to be Achieved">
      <formula>NOT(ISERROR(SEARCH("On Track to be Achieved",I69)))</formula>
    </cfRule>
    <cfRule type="containsText" dxfId="1674" priority="1897" operator="containsText" text="Fully Achieved">
      <formula>NOT(ISERROR(SEARCH("Fully Achieved",I69)))</formula>
    </cfRule>
    <cfRule type="containsText" dxfId="1673" priority="1898" operator="containsText" text="Update not Provided">
      <formula>NOT(ISERROR(SEARCH("Update not Provided",I69)))</formula>
    </cfRule>
    <cfRule type="containsText" dxfId="1672" priority="1899" operator="containsText" text="Not yet due">
      <formula>NOT(ISERROR(SEARCH("Not yet due",I69)))</formula>
    </cfRule>
    <cfRule type="containsText" dxfId="1671" priority="1900" operator="containsText" text="Completed Behind Schedule">
      <formula>NOT(ISERROR(SEARCH("Completed Behind Schedule",I69)))</formula>
    </cfRule>
    <cfRule type="containsText" dxfId="1670" priority="1901" operator="containsText" text="Off Target">
      <formula>NOT(ISERROR(SEARCH("Off Target",I69)))</formula>
    </cfRule>
    <cfRule type="containsText" dxfId="1669" priority="1902" operator="containsText" text="In Danger of Falling Behind Target">
      <formula>NOT(ISERROR(SEARCH("In Danger of Falling Behind Target",I69)))</formula>
    </cfRule>
    <cfRule type="containsText" dxfId="1668" priority="1903" operator="containsText" text="On Track to be Achieved">
      <formula>NOT(ISERROR(SEARCH("On Track to be Achieved",I69)))</formula>
    </cfRule>
    <cfRule type="containsText" dxfId="1667" priority="1904" operator="containsText" text="Fully Achieved">
      <formula>NOT(ISERROR(SEARCH("Fully Achieved",I69)))</formula>
    </cfRule>
    <cfRule type="containsText" dxfId="1666" priority="1905" operator="containsText" text="Fully Achieved">
      <formula>NOT(ISERROR(SEARCH("Fully Achieved",I69)))</formula>
    </cfRule>
    <cfRule type="containsText" dxfId="1665" priority="1906" operator="containsText" text="Fully Achieved">
      <formula>NOT(ISERROR(SEARCH("Fully Achieved",I69)))</formula>
    </cfRule>
    <cfRule type="containsText" dxfId="1664" priority="1907" operator="containsText" text="Deferred">
      <formula>NOT(ISERROR(SEARCH("Deferred",I69)))</formula>
    </cfRule>
    <cfRule type="containsText" dxfId="1663" priority="1908" operator="containsText" text="Deleted">
      <formula>NOT(ISERROR(SEARCH("Deleted",I69)))</formula>
    </cfRule>
    <cfRule type="containsText" dxfId="1662" priority="1909" operator="containsText" text="In Danger of Falling Behind Target">
      <formula>NOT(ISERROR(SEARCH("In Danger of Falling Behind Target",I69)))</formula>
    </cfRule>
    <cfRule type="containsText" dxfId="1661" priority="1910" operator="containsText" text="Not yet due">
      <formula>NOT(ISERROR(SEARCH("Not yet due",I69)))</formula>
    </cfRule>
    <cfRule type="containsText" dxfId="1660" priority="1911" operator="containsText" text="Update not Provided">
      <formula>NOT(ISERROR(SEARCH("Update not Provided",I69)))</formula>
    </cfRule>
  </conditionalFormatting>
  <conditionalFormatting sqref="I69">
    <cfRule type="containsText" dxfId="1659" priority="1840" operator="containsText" text="On track to be achieved">
      <formula>NOT(ISERROR(SEARCH("On track to be achieved",I69)))</formula>
    </cfRule>
    <cfRule type="containsText" dxfId="1658" priority="1841" operator="containsText" text="Deferred">
      <formula>NOT(ISERROR(SEARCH("Deferred",I69)))</formula>
    </cfRule>
    <cfRule type="containsText" dxfId="1657" priority="1842" operator="containsText" text="Deleted">
      <formula>NOT(ISERROR(SEARCH("Deleted",I69)))</formula>
    </cfRule>
    <cfRule type="containsText" dxfId="1656" priority="1843" operator="containsText" text="In Danger of Falling Behind Target">
      <formula>NOT(ISERROR(SEARCH("In Danger of Falling Behind Target",I69)))</formula>
    </cfRule>
    <cfRule type="containsText" dxfId="1655" priority="1844" operator="containsText" text="Not yet due">
      <formula>NOT(ISERROR(SEARCH("Not yet due",I69)))</formula>
    </cfRule>
    <cfRule type="containsText" dxfId="1654" priority="1845" operator="containsText" text="Update not Provided">
      <formula>NOT(ISERROR(SEARCH("Update not Provided",I69)))</formula>
    </cfRule>
    <cfRule type="containsText" dxfId="1653" priority="1846" operator="containsText" text="Not yet due">
      <formula>NOT(ISERROR(SEARCH("Not yet due",I69)))</formula>
    </cfRule>
    <cfRule type="containsText" dxfId="1652" priority="1847" operator="containsText" text="Completed Behind Schedule">
      <formula>NOT(ISERROR(SEARCH("Completed Behind Schedule",I69)))</formula>
    </cfRule>
    <cfRule type="containsText" dxfId="1651" priority="1848" operator="containsText" text="Off Target">
      <formula>NOT(ISERROR(SEARCH("Off Target",I69)))</formula>
    </cfRule>
    <cfRule type="containsText" dxfId="1650" priority="1849" operator="containsText" text="On Track to be Achieved">
      <formula>NOT(ISERROR(SEARCH("On Track to be Achieved",I69)))</formula>
    </cfRule>
    <cfRule type="containsText" dxfId="1649" priority="1850" operator="containsText" text="Fully Achieved">
      <formula>NOT(ISERROR(SEARCH("Fully Achieved",I69)))</formula>
    </cfRule>
    <cfRule type="containsText" dxfId="1648" priority="1851" operator="containsText" text="Not yet due">
      <formula>NOT(ISERROR(SEARCH("Not yet due",I69)))</formula>
    </cfRule>
    <cfRule type="containsText" dxfId="1647" priority="1852" operator="containsText" text="Not Yet Due">
      <formula>NOT(ISERROR(SEARCH("Not Yet Due",I69)))</formula>
    </cfRule>
    <cfRule type="containsText" dxfId="1646" priority="1853" operator="containsText" text="Deferred">
      <formula>NOT(ISERROR(SEARCH("Deferred",I69)))</formula>
    </cfRule>
    <cfRule type="containsText" dxfId="1645" priority="1854" operator="containsText" text="Deleted">
      <formula>NOT(ISERROR(SEARCH("Deleted",I69)))</formula>
    </cfRule>
    <cfRule type="containsText" dxfId="1644" priority="1855" operator="containsText" text="In Danger of Falling Behind Target">
      <formula>NOT(ISERROR(SEARCH("In Danger of Falling Behind Target",I69)))</formula>
    </cfRule>
    <cfRule type="containsText" dxfId="1643" priority="1856" operator="containsText" text="Not yet due">
      <formula>NOT(ISERROR(SEARCH("Not yet due",I69)))</formula>
    </cfRule>
    <cfRule type="containsText" dxfId="1642" priority="1857" operator="containsText" text="Completed Behind Schedule">
      <formula>NOT(ISERROR(SEARCH("Completed Behind Schedule",I69)))</formula>
    </cfRule>
    <cfRule type="containsText" dxfId="1641" priority="1858" operator="containsText" text="Off Target">
      <formula>NOT(ISERROR(SEARCH("Off Target",I69)))</formula>
    </cfRule>
    <cfRule type="containsText" dxfId="1640" priority="1859" operator="containsText" text="In Danger of Falling Behind Target">
      <formula>NOT(ISERROR(SEARCH("In Danger of Falling Behind Target",I69)))</formula>
    </cfRule>
    <cfRule type="containsText" dxfId="1639" priority="1860" operator="containsText" text="On Track to be Achieved">
      <formula>NOT(ISERROR(SEARCH("On Track to be Achieved",I69)))</formula>
    </cfRule>
    <cfRule type="containsText" dxfId="1638" priority="1861" operator="containsText" text="Fully Achieved">
      <formula>NOT(ISERROR(SEARCH("Fully Achieved",I69)))</formula>
    </cfRule>
    <cfRule type="containsText" dxfId="1637" priority="1862" operator="containsText" text="Update not Provided">
      <formula>NOT(ISERROR(SEARCH("Update not Provided",I69)))</formula>
    </cfRule>
    <cfRule type="containsText" dxfId="1636" priority="1863" operator="containsText" text="Not yet due">
      <formula>NOT(ISERROR(SEARCH("Not yet due",I69)))</formula>
    </cfRule>
    <cfRule type="containsText" dxfId="1635" priority="1864" operator="containsText" text="Completed Behind Schedule">
      <formula>NOT(ISERROR(SEARCH("Completed Behind Schedule",I69)))</formula>
    </cfRule>
    <cfRule type="containsText" dxfId="1634" priority="1865" operator="containsText" text="Off Target">
      <formula>NOT(ISERROR(SEARCH("Off Target",I69)))</formula>
    </cfRule>
    <cfRule type="containsText" dxfId="1633" priority="1866" operator="containsText" text="In Danger of Falling Behind Target">
      <formula>NOT(ISERROR(SEARCH("In Danger of Falling Behind Target",I69)))</formula>
    </cfRule>
    <cfRule type="containsText" dxfId="1632" priority="1867" operator="containsText" text="On Track to be Achieved">
      <formula>NOT(ISERROR(SEARCH("On Track to be Achieved",I69)))</formula>
    </cfRule>
    <cfRule type="containsText" dxfId="1631" priority="1868" operator="containsText" text="Fully Achieved">
      <formula>NOT(ISERROR(SEARCH("Fully Achieved",I69)))</formula>
    </cfRule>
    <cfRule type="containsText" dxfId="1630" priority="1869" operator="containsText" text="Fully Achieved">
      <formula>NOT(ISERROR(SEARCH("Fully Achieved",I69)))</formula>
    </cfRule>
    <cfRule type="containsText" dxfId="1629" priority="1870" operator="containsText" text="Fully Achieved">
      <formula>NOT(ISERROR(SEARCH("Fully Achieved",I69)))</formula>
    </cfRule>
    <cfRule type="containsText" dxfId="1628" priority="1871" operator="containsText" text="Deferred">
      <formula>NOT(ISERROR(SEARCH("Deferred",I69)))</formula>
    </cfRule>
    <cfRule type="containsText" dxfId="1627" priority="1872" operator="containsText" text="Deleted">
      <formula>NOT(ISERROR(SEARCH("Deleted",I69)))</formula>
    </cfRule>
    <cfRule type="containsText" dxfId="1626" priority="1873" operator="containsText" text="In Danger of Falling Behind Target">
      <formula>NOT(ISERROR(SEARCH("In Danger of Falling Behind Target",I69)))</formula>
    </cfRule>
    <cfRule type="containsText" dxfId="1625" priority="1874" operator="containsText" text="Not yet due">
      <formula>NOT(ISERROR(SEARCH("Not yet due",I69)))</formula>
    </cfRule>
    <cfRule type="containsText" dxfId="1624" priority="1875" operator="containsText" text="Update not Provided">
      <formula>NOT(ISERROR(SEARCH("Update not Provided",I69)))</formula>
    </cfRule>
  </conditionalFormatting>
  <conditionalFormatting sqref="I70">
    <cfRule type="containsText" dxfId="1623" priority="1804" operator="containsText" text="On track to be achieved">
      <formula>NOT(ISERROR(SEARCH("On track to be achieved",I70)))</formula>
    </cfRule>
    <cfRule type="containsText" dxfId="1622" priority="1805" operator="containsText" text="Deferred">
      <formula>NOT(ISERROR(SEARCH("Deferred",I70)))</formula>
    </cfRule>
    <cfRule type="containsText" dxfId="1621" priority="1806" operator="containsText" text="Deleted">
      <formula>NOT(ISERROR(SEARCH("Deleted",I70)))</formula>
    </cfRule>
    <cfRule type="containsText" dxfId="1620" priority="1807" operator="containsText" text="In Danger of Falling Behind Target">
      <formula>NOT(ISERROR(SEARCH("In Danger of Falling Behind Target",I70)))</formula>
    </cfRule>
    <cfRule type="containsText" dxfId="1619" priority="1808" operator="containsText" text="Not yet due">
      <formula>NOT(ISERROR(SEARCH("Not yet due",I70)))</formula>
    </cfRule>
    <cfRule type="containsText" dxfId="1618" priority="1809" operator="containsText" text="Update not Provided">
      <formula>NOT(ISERROR(SEARCH("Update not Provided",I70)))</formula>
    </cfRule>
    <cfRule type="containsText" dxfId="1617" priority="1810" operator="containsText" text="Not yet due">
      <formula>NOT(ISERROR(SEARCH("Not yet due",I70)))</formula>
    </cfRule>
    <cfRule type="containsText" dxfId="1616" priority="1811" operator="containsText" text="Completed Behind Schedule">
      <formula>NOT(ISERROR(SEARCH("Completed Behind Schedule",I70)))</formula>
    </cfRule>
    <cfRule type="containsText" dxfId="1615" priority="1812" operator="containsText" text="Off Target">
      <formula>NOT(ISERROR(SEARCH("Off Target",I70)))</formula>
    </cfRule>
    <cfRule type="containsText" dxfId="1614" priority="1813" operator="containsText" text="On Track to be Achieved">
      <formula>NOT(ISERROR(SEARCH("On Track to be Achieved",I70)))</formula>
    </cfRule>
    <cfRule type="containsText" dxfId="1613" priority="1814" operator="containsText" text="Fully Achieved">
      <formula>NOT(ISERROR(SEARCH("Fully Achieved",I70)))</formula>
    </cfRule>
    <cfRule type="containsText" dxfId="1612" priority="1815" operator="containsText" text="Not yet due">
      <formula>NOT(ISERROR(SEARCH("Not yet due",I70)))</formula>
    </cfRule>
    <cfRule type="containsText" dxfId="1611" priority="1816" operator="containsText" text="Not Yet Due">
      <formula>NOT(ISERROR(SEARCH("Not Yet Due",I70)))</formula>
    </cfRule>
    <cfRule type="containsText" dxfId="1610" priority="1817" operator="containsText" text="Deferred">
      <formula>NOT(ISERROR(SEARCH("Deferred",I70)))</formula>
    </cfRule>
    <cfRule type="containsText" dxfId="1609" priority="1818" operator="containsText" text="Deleted">
      <formula>NOT(ISERROR(SEARCH("Deleted",I70)))</formula>
    </cfRule>
    <cfRule type="containsText" dxfId="1608" priority="1819" operator="containsText" text="In Danger of Falling Behind Target">
      <formula>NOT(ISERROR(SEARCH("In Danger of Falling Behind Target",I70)))</formula>
    </cfRule>
    <cfRule type="containsText" dxfId="1607" priority="1820" operator="containsText" text="Not yet due">
      <formula>NOT(ISERROR(SEARCH("Not yet due",I70)))</formula>
    </cfRule>
    <cfRule type="containsText" dxfId="1606" priority="1821" operator="containsText" text="Completed Behind Schedule">
      <formula>NOT(ISERROR(SEARCH("Completed Behind Schedule",I70)))</formula>
    </cfRule>
    <cfRule type="containsText" dxfId="1605" priority="1822" operator="containsText" text="Off Target">
      <formula>NOT(ISERROR(SEARCH("Off Target",I70)))</formula>
    </cfRule>
    <cfRule type="containsText" dxfId="1604" priority="1823" operator="containsText" text="In Danger of Falling Behind Target">
      <formula>NOT(ISERROR(SEARCH("In Danger of Falling Behind Target",I70)))</formula>
    </cfRule>
    <cfRule type="containsText" dxfId="1603" priority="1824" operator="containsText" text="On Track to be Achieved">
      <formula>NOT(ISERROR(SEARCH("On Track to be Achieved",I70)))</formula>
    </cfRule>
    <cfRule type="containsText" dxfId="1602" priority="1825" operator="containsText" text="Fully Achieved">
      <formula>NOT(ISERROR(SEARCH("Fully Achieved",I70)))</formula>
    </cfRule>
    <cfRule type="containsText" dxfId="1601" priority="1826" operator="containsText" text="Update not Provided">
      <formula>NOT(ISERROR(SEARCH("Update not Provided",I70)))</formula>
    </cfRule>
    <cfRule type="containsText" dxfId="1600" priority="1827" operator="containsText" text="Not yet due">
      <formula>NOT(ISERROR(SEARCH("Not yet due",I70)))</formula>
    </cfRule>
    <cfRule type="containsText" dxfId="1599" priority="1828" operator="containsText" text="Completed Behind Schedule">
      <formula>NOT(ISERROR(SEARCH("Completed Behind Schedule",I70)))</formula>
    </cfRule>
    <cfRule type="containsText" dxfId="1598" priority="1829" operator="containsText" text="Off Target">
      <formula>NOT(ISERROR(SEARCH("Off Target",I70)))</formula>
    </cfRule>
    <cfRule type="containsText" dxfId="1597" priority="1830" operator="containsText" text="In Danger of Falling Behind Target">
      <formula>NOT(ISERROR(SEARCH("In Danger of Falling Behind Target",I70)))</formula>
    </cfRule>
    <cfRule type="containsText" dxfId="1596" priority="1831" operator="containsText" text="On Track to be Achieved">
      <formula>NOT(ISERROR(SEARCH("On Track to be Achieved",I70)))</formula>
    </cfRule>
    <cfRule type="containsText" dxfId="1595" priority="1832" operator="containsText" text="Fully Achieved">
      <formula>NOT(ISERROR(SEARCH("Fully Achieved",I70)))</formula>
    </cfRule>
    <cfRule type="containsText" dxfId="1594" priority="1833" operator="containsText" text="Fully Achieved">
      <formula>NOT(ISERROR(SEARCH("Fully Achieved",I70)))</formula>
    </cfRule>
    <cfRule type="containsText" dxfId="1593" priority="1834" operator="containsText" text="Fully Achieved">
      <formula>NOT(ISERROR(SEARCH("Fully Achieved",I70)))</formula>
    </cfRule>
    <cfRule type="containsText" dxfId="1592" priority="1835" operator="containsText" text="Deferred">
      <formula>NOT(ISERROR(SEARCH("Deferred",I70)))</formula>
    </cfRule>
    <cfRule type="containsText" dxfId="1591" priority="1836" operator="containsText" text="Deleted">
      <formula>NOT(ISERROR(SEARCH("Deleted",I70)))</formula>
    </cfRule>
    <cfRule type="containsText" dxfId="1590" priority="1837" operator="containsText" text="In Danger of Falling Behind Target">
      <formula>NOT(ISERROR(SEARCH("In Danger of Falling Behind Target",I70)))</formula>
    </cfRule>
    <cfRule type="containsText" dxfId="1589" priority="1838" operator="containsText" text="Not yet due">
      <formula>NOT(ISERROR(SEARCH("Not yet due",I70)))</formula>
    </cfRule>
    <cfRule type="containsText" dxfId="1588" priority="1839" operator="containsText" text="Update not Provided">
      <formula>NOT(ISERROR(SEARCH("Update not Provided",I70)))</formula>
    </cfRule>
  </conditionalFormatting>
  <conditionalFormatting sqref="I70">
    <cfRule type="containsText" dxfId="1587" priority="1768" operator="containsText" text="On track to be achieved">
      <formula>NOT(ISERROR(SEARCH("On track to be achieved",I70)))</formula>
    </cfRule>
    <cfRule type="containsText" dxfId="1586" priority="1769" operator="containsText" text="Deferred">
      <formula>NOT(ISERROR(SEARCH("Deferred",I70)))</formula>
    </cfRule>
    <cfRule type="containsText" dxfId="1585" priority="1770" operator="containsText" text="Deleted">
      <formula>NOT(ISERROR(SEARCH("Deleted",I70)))</formula>
    </cfRule>
    <cfRule type="containsText" dxfId="1584" priority="1771" operator="containsText" text="In Danger of Falling Behind Target">
      <formula>NOT(ISERROR(SEARCH("In Danger of Falling Behind Target",I70)))</formula>
    </cfRule>
    <cfRule type="containsText" dxfId="1583" priority="1772" operator="containsText" text="Not yet due">
      <formula>NOT(ISERROR(SEARCH("Not yet due",I70)))</formula>
    </cfRule>
    <cfRule type="containsText" dxfId="1582" priority="1773" operator="containsText" text="Update not Provided">
      <formula>NOT(ISERROR(SEARCH("Update not Provided",I70)))</formula>
    </cfRule>
    <cfRule type="containsText" dxfId="1581" priority="1774" operator="containsText" text="Not yet due">
      <formula>NOT(ISERROR(SEARCH("Not yet due",I70)))</formula>
    </cfRule>
    <cfRule type="containsText" dxfId="1580" priority="1775" operator="containsText" text="Completed Behind Schedule">
      <formula>NOT(ISERROR(SEARCH("Completed Behind Schedule",I70)))</formula>
    </cfRule>
    <cfRule type="containsText" dxfId="1579" priority="1776" operator="containsText" text="Off Target">
      <formula>NOT(ISERROR(SEARCH("Off Target",I70)))</formula>
    </cfRule>
    <cfRule type="containsText" dxfId="1578" priority="1777" operator="containsText" text="On Track to be Achieved">
      <formula>NOT(ISERROR(SEARCH("On Track to be Achieved",I70)))</formula>
    </cfRule>
    <cfRule type="containsText" dxfId="1577" priority="1778" operator="containsText" text="Fully Achieved">
      <formula>NOT(ISERROR(SEARCH("Fully Achieved",I70)))</formula>
    </cfRule>
    <cfRule type="containsText" dxfId="1576" priority="1779" operator="containsText" text="Not yet due">
      <formula>NOT(ISERROR(SEARCH("Not yet due",I70)))</formula>
    </cfRule>
    <cfRule type="containsText" dxfId="1575" priority="1780" operator="containsText" text="Not Yet Due">
      <formula>NOT(ISERROR(SEARCH("Not Yet Due",I70)))</formula>
    </cfRule>
    <cfRule type="containsText" dxfId="1574" priority="1781" operator="containsText" text="Deferred">
      <formula>NOT(ISERROR(SEARCH("Deferred",I70)))</formula>
    </cfRule>
    <cfRule type="containsText" dxfId="1573" priority="1782" operator="containsText" text="Deleted">
      <formula>NOT(ISERROR(SEARCH("Deleted",I70)))</formula>
    </cfRule>
    <cfRule type="containsText" dxfId="1572" priority="1783" operator="containsText" text="In Danger of Falling Behind Target">
      <formula>NOT(ISERROR(SEARCH("In Danger of Falling Behind Target",I70)))</formula>
    </cfRule>
    <cfRule type="containsText" dxfId="1571" priority="1784" operator="containsText" text="Not yet due">
      <formula>NOT(ISERROR(SEARCH("Not yet due",I70)))</formula>
    </cfRule>
    <cfRule type="containsText" dxfId="1570" priority="1785" operator="containsText" text="Completed Behind Schedule">
      <formula>NOT(ISERROR(SEARCH("Completed Behind Schedule",I70)))</formula>
    </cfRule>
    <cfRule type="containsText" dxfId="1569" priority="1786" operator="containsText" text="Off Target">
      <formula>NOT(ISERROR(SEARCH("Off Target",I70)))</formula>
    </cfRule>
    <cfRule type="containsText" dxfId="1568" priority="1787" operator="containsText" text="In Danger of Falling Behind Target">
      <formula>NOT(ISERROR(SEARCH("In Danger of Falling Behind Target",I70)))</formula>
    </cfRule>
    <cfRule type="containsText" dxfId="1567" priority="1788" operator="containsText" text="On Track to be Achieved">
      <formula>NOT(ISERROR(SEARCH("On Track to be Achieved",I70)))</formula>
    </cfRule>
    <cfRule type="containsText" dxfId="1566" priority="1789" operator="containsText" text="Fully Achieved">
      <formula>NOT(ISERROR(SEARCH("Fully Achieved",I70)))</formula>
    </cfRule>
    <cfRule type="containsText" dxfId="1565" priority="1790" operator="containsText" text="Update not Provided">
      <formula>NOT(ISERROR(SEARCH("Update not Provided",I70)))</formula>
    </cfRule>
    <cfRule type="containsText" dxfId="1564" priority="1791" operator="containsText" text="Not yet due">
      <formula>NOT(ISERROR(SEARCH("Not yet due",I70)))</formula>
    </cfRule>
    <cfRule type="containsText" dxfId="1563" priority="1792" operator="containsText" text="Completed Behind Schedule">
      <formula>NOT(ISERROR(SEARCH("Completed Behind Schedule",I70)))</formula>
    </cfRule>
    <cfRule type="containsText" dxfId="1562" priority="1793" operator="containsText" text="Off Target">
      <formula>NOT(ISERROR(SEARCH("Off Target",I70)))</formula>
    </cfRule>
    <cfRule type="containsText" dxfId="1561" priority="1794" operator="containsText" text="In Danger of Falling Behind Target">
      <formula>NOT(ISERROR(SEARCH("In Danger of Falling Behind Target",I70)))</formula>
    </cfRule>
    <cfRule type="containsText" dxfId="1560" priority="1795" operator="containsText" text="On Track to be Achieved">
      <formula>NOT(ISERROR(SEARCH("On Track to be Achieved",I70)))</formula>
    </cfRule>
    <cfRule type="containsText" dxfId="1559" priority="1796" operator="containsText" text="Fully Achieved">
      <formula>NOT(ISERROR(SEARCH("Fully Achieved",I70)))</formula>
    </cfRule>
    <cfRule type="containsText" dxfId="1558" priority="1797" operator="containsText" text="Fully Achieved">
      <formula>NOT(ISERROR(SEARCH("Fully Achieved",I70)))</formula>
    </cfRule>
    <cfRule type="containsText" dxfId="1557" priority="1798" operator="containsText" text="Fully Achieved">
      <formula>NOT(ISERROR(SEARCH("Fully Achieved",I70)))</formula>
    </cfRule>
    <cfRule type="containsText" dxfId="1556" priority="1799" operator="containsText" text="Deferred">
      <formula>NOT(ISERROR(SEARCH("Deferred",I70)))</formula>
    </cfRule>
    <cfRule type="containsText" dxfId="1555" priority="1800" operator="containsText" text="Deleted">
      <formula>NOT(ISERROR(SEARCH("Deleted",I70)))</formula>
    </cfRule>
    <cfRule type="containsText" dxfId="1554" priority="1801" operator="containsText" text="In Danger of Falling Behind Target">
      <formula>NOT(ISERROR(SEARCH("In Danger of Falling Behind Target",I70)))</formula>
    </cfRule>
    <cfRule type="containsText" dxfId="1553" priority="1802" operator="containsText" text="Not yet due">
      <formula>NOT(ISERROR(SEARCH("Not yet due",I70)))</formula>
    </cfRule>
    <cfRule type="containsText" dxfId="1552" priority="1803" operator="containsText" text="Update not Provided">
      <formula>NOT(ISERROR(SEARCH("Update not Provided",I70)))</formula>
    </cfRule>
  </conditionalFormatting>
  <conditionalFormatting sqref="I70">
    <cfRule type="containsText" dxfId="1551" priority="1732" operator="containsText" text="On track to be achieved">
      <formula>NOT(ISERROR(SEARCH("On track to be achieved",I70)))</formula>
    </cfRule>
    <cfRule type="containsText" dxfId="1550" priority="1733" operator="containsText" text="Deferred">
      <formula>NOT(ISERROR(SEARCH("Deferred",I70)))</formula>
    </cfRule>
    <cfRule type="containsText" dxfId="1549" priority="1734" operator="containsText" text="Deleted">
      <formula>NOT(ISERROR(SEARCH("Deleted",I70)))</formula>
    </cfRule>
    <cfRule type="containsText" dxfId="1548" priority="1735" operator="containsText" text="In Danger of Falling Behind Target">
      <formula>NOT(ISERROR(SEARCH("In Danger of Falling Behind Target",I70)))</formula>
    </cfRule>
    <cfRule type="containsText" dxfId="1547" priority="1736" operator="containsText" text="Not yet due">
      <formula>NOT(ISERROR(SEARCH("Not yet due",I70)))</formula>
    </cfRule>
    <cfRule type="containsText" dxfId="1546" priority="1737" operator="containsText" text="Update not Provided">
      <formula>NOT(ISERROR(SEARCH("Update not Provided",I70)))</formula>
    </cfRule>
    <cfRule type="containsText" dxfId="1545" priority="1738" operator="containsText" text="Not yet due">
      <formula>NOT(ISERROR(SEARCH("Not yet due",I70)))</formula>
    </cfRule>
    <cfRule type="containsText" dxfId="1544" priority="1739" operator="containsText" text="Completed Behind Schedule">
      <formula>NOT(ISERROR(SEARCH("Completed Behind Schedule",I70)))</formula>
    </cfRule>
    <cfRule type="containsText" dxfId="1543" priority="1740" operator="containsText" text="Off Target">
      <formula>NOT(ISERROR(SEARCH("Off Target",I70)))</formula>
    </cfRule>
    <cfRule type="containsText" dxfId="1542" priority="1741" operator="containsText" text="On Track to be Achieved">
      <formula>NOT(ISERROR(SEARCH("On Track to be Achieved",I70)))</formula>
    </cfRule>
    <cfRule type="containsText" dxfId="1541" priority="1742" operator="containsText" text="Fully Achieved">
      <formula>NOT(ISERROR(SEARCH("Fully Achieved",I70)))</formula>
    </cfRule>
    <cfRule type="containsText" dxfId="1540" priority="1743" operator="containsText" text="Not yet due">
      <formula>NOT(ISERROR(SEARCH("Not yet due",I70)))</formula>
    </cfRule>
    <cfRule type="containsText" dxfId="1539" priority="1744" operator="containsText" text="Not Yet Due">
      <formula>NOT(ISERROR(SEARCH("Not Yet Due",I70)))</formula>
    </cfRule>
    <cfRule type="containsText" dxfId="1538" priority="1745" operator="containsText" text="Deferred">
      <formula>NOT(ISERROR(SEARCH("Deferred",I70)))</formula>
    </cfRule>
    <cfRule type="containsText" dxfId="1537" priority="1746" operator="containsText" text="Deleted">
      <formula>NOT(ISERROR(SEARCH("Deleted",I70)))</formula>
    </cfRule>
    <cfRule type="containsText" dxfId="1536" priority="1747" operator="containsText" text="In Danger of Falling Behind Target">
      <formula>NOT(ISERROR(SEARCH("In Danger of Falling Behind Target",I70)))</formula>
    </cfRule>
    <cfRule type="containsText" dxfId="1535" priority="1748" operator="containsText" text="Not yet due">
      <formula>NOT(ISERROR(SEARCH("Not yet due",I70)))</formula>
    </cfRule>
    <cfRule type="containsText" dxfId="1534" priority="1749" operator="containsText" text="Completed Behind Schedule">
      <formula>NOT(ISERROR(SEARCH("Completed Behind Schedule",I70)))</formula>
    </cfRule>
    <cfRule type="containsText" dxfId="1533" priority="1750" operator="containsText" text="Off Target">
      <formula>NOT(ISERROR(SEARCH("Off Target",I70)))</formula>
    </cfRule>
    <cfRule type="containsText" dxfId="1532" priority="1751" operator="containsText" text="In Danger of Falling Behind Target">
      <formula>NOT(ISERROR(SEARCH("In Danger of Falling Behind Target",I70)))</formula>
    </cfRule>
    <cfRule type="containsText" dxfId="1531" priority="1752" operator="containsText" text="On Track to be Achieved">
      <formula>NOT(ISERROR(SEARCH("On Track to be Achieved",I70)))</formula>
    </cfRule>
    <cfRule type="containsText" dxfId="1530" priority="1753" operator="containsText" text="Fully Achieved">
      <formula>NOT(ISERROR(SEARCH("Fully Achieved",I70)))</formula>
    </cfRule>
    <cfRule type="containsText" dxfId="1529" priority="1754" operator="containsText" text="Update not Provided">
      <formula>NOT(ISERROR(SEARCH("Update not Provided",I70)))</formula>
    </cfRule>
    <cfRule type="containsText" dxfId="1528" priority="1755" operator="containsText" text="Not yet due">
      <formula>NOT(ISERROR(SEARCH("Not yet due",I70)))</formula>
    </cfRule>
    <cfRule type="containsText" dxfId="1527" priority="1756" operator="containsText" text="Completed Behind Schedule">
      <formula>NOT(ISERROR(SEARCH("Completed Behind Schedule",I70)))</formula>
    </cfRule>
    <cfRule type="containsText" dxfId="1526" priority="1757" operator="containsText" text="Off Target">
      <formula>NOT(ISERROR(SEARCH("Off Target",I70)))</formula>
    </cfRule>
    <cfRule type="containsText" dxfId="1525" priority="1758" operator="containsText" text="In Danger of Falling Behind Target">
      <formula>NOT(ISERROR(SEARCH("In Danger of Falling Behind Target",I70)))</formula>
    </cfRule>
    <cfRule type="containsText" dxfId="1524" priority="1759" operator="containsText" text="On Track to be Achieved">
      <formula>NOT(ISERROR(SEARCH("On Track to be Achieved",I70)))</formula>
    </cfRule>
    <cfRule type="containsText" dxfId="1523" priority="1760" operator="containsText" text="Fully Achieved">
      <formula>NOT(ISERROR(SEARCH("Fully Achieved",I70)))</formula>
    </cfRule>
    <cfRule type="containsText" dxfId="1522" priority="1761" operator="containsText" text="Fully Achieved">
      <formula>NOT(ISERROR(SEARCH("Fully Achieved",I70)))</formula>
    </cfRule>
    <cfRule type="containsText" dxfId="1521" priority="1762" operator="containsText" text="Fully Achieved">
      <formula>NOT(ISERROR(SEARCH("Fully Achieved",I70)))</formula>
    </cfRule>
    <cfRule type="containsText" dxfId="1520" priority="1763" operator="containsText" text="Deferred">
      <formula>NOT(ISERROR(SEARCH("Deferred",I70)))</formula>
    </cfRule>
    <cfRule type="containsText" dxfId="1519" priority="1764" operator="containsText" text="Deleted">
      <formula>NOT(ISERROR(SEARCH("Deleted",I70)))</formula>
    </cfRule>
    <cfRule type="containsText" dxfId="1518" priority="1765" operator="containsText" text="In Danger of Falling Behind Target">
      <formula>NOT(ISERROR(SEARCH("In Danger of Falling Behind Target",I70)))</formula>
    </cfRule>
    <cfRule type="containsText" dxfId="1517" priority="1766" operator="containsText" text="Not yet due">
      <formula>NOT(ISERROR(SEARCH("Not yet due",I70)))</formula>
    </cfRule>
    <cfRule type="containsText" dxfId="1516" priority="1767" operator="containsText" text="Update not Provided">
      <formula>NOT(ISERROR(SEARCH("Update not Provided",I70)))</formula>
    </cfRule>
  </conditionalFormatting>
  <conditionalFormatting sqref="I70">
    <cfRule type="containsText" dxfId="1515" priority="1696" operator="containsText" text="On track to be achieved">
      <formula>NOT(ISERROR(SEARCH("On track to be achieved",I70)))</formula>
    </cfRule>
    <cfRule type="containsText" dxfId="1514" priority="1697" operator="containsText" text="Deferred">
      <formula>NOT(ISERROR(SEARCH("Deferred",I70)))</formula>
    </cfRule>
    <cfRule type="containsText" dxfId="1513" priority="1698" operator="containsText" text="Deleted">
      <formula>NOT(ISERROR(SEARCH("Deleted",I70)))</formula>
    </cfRule>
    <cfRule type="containsText" dxfId="1512" priority="1699" operator="containsText" text="In Danger of Falling Behind Target">
      <formula>NOT(ISERROR(SEARCH("In Danger of Falling Behind Target",I70)))</formula>
    </cfRule>
    <cfRule type="containsText" dxfId="1511" priority="1700" operator="containsText" text="Not yet due">
      <formula>NOT(ISERROR(SEARCH("Not yet due",I70)))</formula>
    </cfRule>
    <cfRule type="containsText" dxfId="1510" priority="1701" operator="containsText" text="Update not Provided">
      <formula>NOT(ISERROR(SEARCH("Update not Provided",I70)))</formula>
    </cfRule>
    <cfRule type="containsText" dxfId="1509" priority="1702" operator="containsText" text="Not yet due">
      <formula>NOT(ISERROR(SEARCH("Not yet due",I70)))</formula>
    </cfRule>
    <cfRule type="containsText" dxfId="1508" priority="1703" operator="containsText" text="Completed Behind Schedule">
      <formula>NOT(ISERROR(SEARCH("Completed Behind Schedule",I70)))</formula>
    </cfRule>
    <cfRule type="containsText" dxfId="1507" priority="1704" operator="containsText" text="Off Target">
      <formula>NOT(ISERROR(SEARCH("Off Target",I70)))</formula>
    </cfRule>
    <cfRule type="containsText" dxfId="1506" priority="1705" operator="containsText" text="On Track to be Achieved">
      <formula>NOT(ISERROR(SEARCH("On Track to be Achieved",I70)))</formula>
    </cfRule>
    <cfRule type="containsText" dxfId="1505" priority="1706" operator="containsText" text="Fully Achieved">
      <formula>NOT(ISERROR(SEARCH("Fully Achieved",I70)))</formula>
    </cfRule>
    <cfRule type="containsText" dxfId="1504" priority="1707" operator="containsText" text="Not yet due">
      <formula>NOT(ISERROR(SEARCH("Not yet due",I70)))</formula>
    </cfRule>
    <cfRule type="containsText" dxfId="1503" priority="1708" operator="containsText" text="Not Yet Due">
      <formula>NOT(ISERROR(SEARCH("Not Yet Due",I70)))</formula>
    </cfRule>
    <cfRule type="containsText" dxfId="1502" priority="1709" operator="containsText" text="Deferred">
      <formula>NOT(ISERROR(SEARCH("Deferred",I70)))</formula>
    </cfRule>
    <cfRule type="containsText" dxfId="1501" priority="1710" operator="containsText" text="Deleted">
      <formula>NOT(ISERROR(SEARCH("Deleted",I70)))</formula>
    </cfRule>
    <cfRule type="containsText" dxfId="1500" priority="1711" operator="containsText" text="In Danger of Falling Behind Target">
      <formula>NOT(ISERROR(SEARCH("In Danger of Falling Behind Target",I70)))</formula>
    </cfRule>
    <cfRule type="containsText" dxfId="1499" priority="1712" operator="containsText" text="Not yet due">
      <formula>NOT(ISERROR(SEARCH("Not yet due",I70)))</formula>
    </cfRule>
    <cfRule type="containsText" dxfId="1498" priority="1713" operator="containsText" text="Completed Behind Schedule">
      <formula>NOT(ISERROR(SEARCH("Completed Behind Schedule",I70)))</formula>
    </cfRule>
    <cfRule type="containsText" dxfId="1497" priority="1714" operator="containsText" text="Off Target">
      <formula>NOT(ISERROR(SEARCH("Off Target",I70)))</formula>
    </cfRule>
    <cfRule type="containsText" dxfId="1496" priority="1715" operator="containsText" text="In Danger of Falling Behind Target">
      <formula>NOT(ISERROR(SEARCH("In Danger of Falling Behind Target",I70)))</formula>
    </cfRule>
    <cfRule type="containsText" dxfId="1495" priority="1716" operator="containsText" text="On Track to be Achieved">
      <formula>NOT(ISERROR(SEARCH("On Track to be Achieved",I70)))</formula>
    </cfRule>
    <cfRule type="containsText" dxfId="1494" priority="1717" operator="containsText" text="Fully Achieved">
      <formula>NOT(ISERROR(SEARCH("Fully Achieved",I70)))</formula>
    </cfRule>
    <cfRule type="containsText" dxfId="1493" priority="1718" operator="containsText" text="Update not Provided">
      <formula>NOT(ISERROR(SEARCH("Update not Provided",I70)))</formula>
    </cfRule>
    <cfRule type="containsText" dxfId="1492" priority="1719" operator="containsText" text="Not yet due">
      <formula>NOT(ISERROR(SEARCH("Not yet due",I70)))</formula>
    </cfRule>
    <cfRule type="containsText" dxfId="1491" priority="1720" operator="containsText" text="Completed Behind Schedule">
      <formula>NOT(ISERROR(SEARCH("Completed Behind Schedule",I70)))</formula>
    </cfRule>
    <cfRule type="containsText" dxfId="1490" priority="1721" operator="containsText" text="Off Target">
      <formula>NOT(ISERROR(SEARCH("Off Target",I70)))</formula>
    </cfRule>
    <cfRule type="containsText" dxfId="1489" priority="1722" operator="containsText" text="In Danger of Falling Behind Target">
      <formula>NOT(ISERROR(SEARCH("In Danger of Falling Behind Target",I70)))</formula>
    </cfRule>
    <cfRule type="containsText" dxfId="1488" priority="1723" operator="containsText" text="On Track to be Achieved">
      <formula>NOT(ISERROR(SEARCH("On Track to be Achieved",I70)))</formula>
    </cfRule>
    <cfRule type="containsText" dxfId="1487" priority="1724" operator="containsText" text="Fully Achieved">
      <formula>NOT(ISERROR(SEARCH("Fully Achieved",I70)))</formula>
    </cfRule>
    <cfRule type="containsText" dxfId="1486" priority="1725" operator="containsText" text="Fully Achieved">
      <formula>NOT(ISERROR(SEARCH("Fully Achieved",I70)))</formula>
    </cfRule>
    <cfRule type="containsText" dxfId="1485" priority="1726" operator="containsText" text="Fully Achieved">
      <formula>NOT(ISERROR(SEARCH("Fully Achieved",I70)))</formula>
    </cfRule>
    <cfRule type="containsText" dxfId="1484" priority="1727" operator="containsText" text="Deferred">
      <formula>NOT(ISERROR(SEARCH("Deferred",I70)))</formula>
    </cfRule>
    <cfRule type="containsText" dxfId="1483" priority="1728" operator="containsText" text="Deleted">
      <formula>NOT(ISERROR(SEARCH("Deleted",I70)))</formula>
    </cfRule>
    <cfRule type="containsText" dxfId="1482" priority="1729" operator="containsText" text="In Danger of Falling Behind Target">
      <formula>NOT(ISERROR(SEARCH("In Danger of Falling Behind Target",I70)))</formula>
    </cfRule>
    <cfRule type="containsText" dxfId="1481" priority="1730" operator="containsText" text="Not yet due">
      <formula>NOT(ISERROR(SEARCH("Not yet due",I70)))</formula>
    </cfRule>
    <cfRule type="containsText" dxfId="1480" priority="1731" operator="containsText" text="Update not Provided">
      <formula>NOT(ISERROR(SEARCH("Update not Provided",I70)))</formula>
    </cfRule>
  </conditionalFormatting>
  <conditionalFormatting sqref="I71">
    <cfRule type="containsText" dxfId="1479" priority="1660" operator="containsText" text="On track to be achieved">
      <formula>NOT(ISERROR(SEARCH("On track to be achieved",I71)))</formula>
    </cfRule>
    <cfRule type="containsText" dxfId="1478" priority="1661" operator="containsText" text="Deferred">
      <formula>NOT(ISERROR(SEARCH("Deferred",I71)))</formula>
    </cfRule>
    <cfRule type="containsText" dxfId="1477" priority="1662" operator="containsText" text="Deleted">
      <formula>NOT(ISERROR(SEARCH("Deleted",I71)))</formula>
    </cfRule>
    <cfRule type="containsText" dxfId="1476" priority="1663" operator="containsText" text="In Danger of Falling Behind Target">
      <formula>NOT(ISERROR(SEARCH("In Danger of Falling Behind Target",I71)))</formula>
    </cfRule>
    <cfRule type="containsText" dxfId="1475" priority="1664" operator="containsText" text="Not yet due">
      <formula>NOT(ISERROR(SEARCH("Not yet due",I71)))</formula>
    </cfRule>
    <cfRule type="containsText" dxfId="1474" priority="1665" operator="containsText" text="Update not Provided">
      <formula>NOT(ISERROR(SEARCH("Update not Provided",I71)))</formula>
    </cfRule>
    <cfRule type="containsText" dxfId="1473" priority="1666" operator="containsText" text="Not yet due">
      <formula>NOT(ISERROR(SEARCH("Not yet due",I71)))</formula>
    </cfRule>
    <cfRule type="containsText" dxfId="1472" priority="1667" operator="containsText" text="Completed Behind Schedule">
      <formula>NOT(ISERROR(SEARCH("Completed Behind Schedule",I71)))</formula>
    </cfRule>
    <cfRule type="containsText" dxfId="1471" priority="1668" operator="containsText" text="Off Target">
      <formula>NOT(ISERROR(SEARCH("Off Target",I71)))</formula>
    </cfRule>
    <cfRule type="containsText" dxfId="1470" priority="1669" operator="containsText" text="On Track to be Achieved">
      <formula>NOT(ISERROR(SEARCH("On Track to be Achieved",I71)))</formula>
    </cfRule>
    <cfRule type="containsText" dxfId="1469" priority="1670" operator="containsText" text="Fully Achieved">
      <formula>NOT(ISERROR(SEARCH("Fully Achieved",I71)))</formula>
    </cfRule>
    <cfRule type="containsText" dxfId="1468" priority="1671" operator="containsText" text="Not yet due">
      <formula>NOT(ISERROR(SEARCH("Not yet due",I71)))</formula>
    </cfRule>
    <cfRule type="containsText" dxfId="1467" priority="1672" operator="containsText" text="Not Yet Due">
      <formula>NOT(ISERROR(SEARCH("Not Yet Due",I71)))</formula>
    </cfRule>
    <cfRule type="containsText" dxfId="1466" priority="1673" operator="containsText" text="Deferred">
      <formula>NOT(ISERROR(SEARCH("Deferred",I71)))</formula>
    </cfRule>
    <cfRule type="containsText" dxfId="1465" priority="1674" operator="containsText" text="Deleted">
      <formula>NOT(ISERROR(SEARCH("Deleted",I71)))</formula>
    </cfRule>
    <cfRule type="containsText" dxfId="1464" priority="1675" operator="containsText" text="In Danger of Falling Behind Target">
      <formula>NOT(ISERROR(SEARCH("In Danger of Falling Behind Target",I71)))</formula>
    </cfRule>
    <cfRule type="containsText" dxfId="1463" priority="1676" operator="containsText" text="Not yet due">
      <formula>NOT(ISERROR(SEARCH("Not yet due",I71)))</formula>
    </cfRule>
    <cfRule type="containsText" dxfId="1462" priority="1677" operator="containsText" text="Completed Behind Schedule">
      <formula>NOT(ISERROR(SEARCH("Completed Behind Schedule",I71)))</formula>
    </cfRule>
    <cfRule type="containsText" dxfId="1461" priority="1678" operator="containsText" text="Off Target">
      <formula>NOT(ISERROR(SEARCH("Off Target",I71)))</formula>
    </cfRule>
    <cfRule type="containsText" dxfId="1460" priority="1679" operator="containsText" text="In Danger of Falling Behind Target">
      <formula>NOT(ISERROR(SEARCH("In Danger of Falling Behind Target",I71)))</formula>
    </cfRule>
    <cfRule type="containsText" dxfId="1459" priority="1680" operator="containsText" text="On Track to be Achieved">
      <formula>NOT(ISERROR(SEARCH("On Track to be Achieved",I71)))</formula>
    </cfRule>
    <cfRule type="containsText" dxfId="1458" priority="1681" operator="containsText" text="Fully Achieved">
      <formula>NOT(ISERROR(SEARCH("Fully Achieved",I71)))</formula>
    </cfRule>
    <cfRule type="containsText" dxfId="1457" priority="1682" operator="containsText" text="Update not Provided">
      <formula>NOT(ISERROR(SEARCH("Update not Provided",I71)))</formula>
    </cfRule>
    <cfRule type="containsText" dxfId="1456" priority="1683" operator="containsText" text="Not yet due">
      <formula>NOT(ISERROR(SEARCH("Not yet due",I71)))</formula>
    </cfRule>
    <cfRule type="containsText" dxfId="1455" priority="1684" operator="containsText" text="Completed Behind Schedule">
      <formula>NOT(ISERROR(SEARCH("Completed Behind Schedule",I71)))</formula>
    </cfRule>
    <cfRule type="containsText" dxfId="1454" priority="1685" operator="containsText" text="Off Target">
      <formula>NOT(ISERROR(SEARCH("Off Target",I71)))</formula>
    </cfRule>
    <cfRule type="containsText" dxfId="1453" priority="1686" operator="containsText" text="In Danger of Falling Behind Target">
      <formula>NOT(ISERROR(SEARCH("In Danger of Falling Behind Target",I71)))</formula>
    </cfRule>
    <cfRule type="containsText" dxfId="1452" priority="1687" operator="containsText" text="On Track to be Achieved">
      <formula>NOT(ISERROR(SEARCH("On Track to be Achieved",I71)))</formula>
    </cfRule>
    <cfRule type="containsText" dxfId="1451" priority="1688" operator="containsText" text="Fully Achieved">
      <formula>NOT(ISERROR(SEARCH("Fully Achieved",I71)))</formula>
    </cfRule>
    <cfRule type="containsText" dxfId="1450" priority="1689" operator="containsText" text="Fully Achieved">
      <formula>NOT(ISERROR(SEARCH("Fully Achieved",I71)))</formula>
    </cfRule>
    <cfRule type="containsText" dxfId="1449" priority="1690" operator="containsText" text="Fully Achieved">
      <formula>NOT(ISERROR(SEARCH("Fully Achieved",I71)))</formula>
    </cfRule>
    <cfRule type="containsText" dxfId="1448" priority="1691" operator="containsText" text="Deferred">
      <formula>NOT(ISERROR(SEARCH("Deferred",I71)))</formula>
    </cfRule>
    <cfRule type="containsText" dxfId="1447" priority="1692" operator="containsText" text="Deleted">
      <formula>NOT(ISERROR(SEARCH("Deleted",I71)))</formula>
    </cfRule>
    <cfRule type="containsText" dxfId="1446" priority="1693" operator="containsText" text="In Danger of Falling Behind Target">
      <formula>NOT(ISERROR(SEARCH("In Danger of Falling Behind Target",I71)))</formula>
    </cfRule>
    <cfRule type="containsText" dxfId="1445" priority="1694" operator="containsText" text="Not yet due">
      <formula>NOT(ISERROR(SEARCH("Not yet due",I71)))</formula>
    </cfRule>
    <cfRule type="containsText" dxfId="1444" priority="1695" operator="containsText" text="Update not Provided">
      <formula>NOT(ISERROR(SEARCH("Update not Provided",I71)))</formula>
    </cfRule>
  </conditionalFormatting>
  <conditionalFormatting sqref="I71">
    <cfRule type="containsText" dxfId="1443" priority="1624" operator="containsText" text="On track to be achieved">
      <formula>NOT(ISERROR(SEARCH("On track to be achieved",I71)))</formula>
    </cfRule>
    <cfRule type="containsText" dxfId="1442" priority="1625" operator="containsText" text="Deferred">
      <formula>NOT(ISERROR(SEARCH("Deferred",I71)))</formula>
    </cfRule>
    <cfRule type="containsText" dxfId="1441" priority="1626" operator="containsText" text="Deleted">
      <formula>NOT(ISERROR(SEARCH("Deleted",I71)))</formula>
    </cfRule>
    <cfRule type="containsText" dxfId="1440" priority="1627" operator="containsText" text="In Danger of Falling Behind Target">
      <formula>NOT(ISERROR(SEARCH("In Danger of Falling Behind Target",I71)))</formula>
    </cfRule>
    <cfRule type="containsText" dxfId="1439" priority="1628" operator="containsText" text="Not yet due">
      <formula>NOT(ISERROR(SEARCH("Not yet due",I71)))</formula>
    </cfRule>
    <cfRule type="containsText" dxfId="1438" priority="1629" operator="containsText" text="Update not Provided">
      <formula>NOT(ISERROR(SEARCH("Update not Provided",I71)))</formula>
    </cfRule>
    <cfRule type="containsText" dxfId="1437" priority="1630" operator="containsText" text="Not yet due">
      <formula>NOT(ISERROR(SEARCH("Not yet due",I71)))</formula>
    </cfRule>
    <cfRule type="containsText" dxfId="1436" priority="1631" operator="containsText" text="Completed Behind Schedule">
      <formula>NOT(ISERROR(SEARCH("Completed Behind Schedule",I71)))</formula>
    </cfRule>
    <cfRule type="containsText" dxfId="1435" priority="1632" operator="containsText" text="Off Target">
      <formula>NOT(ISERROR(SEARCH("Off Target",I71)))</formula>
    </cfRule>
    <cfRule type="containsText" dxfId="1434" priority="1633" operator="containsText" text="On Track to be Achieved">
      <formula>NOT(ISERROR(SEARCH("On Track to be Achieved",I71)))</formula>
    </cfRule>
    <cfRule type="containsText" dxfId="1433" priority="1634" operator="containsText" text="Fully Achieved">
      <formula>NOT(ISERROR(SEARCH("Fully Achieved",I71)))</formula>
    </cfRule>
    <cfRule type="containsText" dxfId="1432" priority="1635" operator="containsText" text="Not yet due">
      <formula>NOT(ISERROR(SEARCH("Not yet due",I71)))</formula>
    </cfRule>
    <cfRule type="containsText" dxfId="1431" priority="1636" operator="containsText" text="Not Yet Due">
      <formula>NOT(ISERROR(SEARCH("Not Yet Due",I71)))</formula>
    </cfRule>
    <cfRule type="containsText" dxfId="1430" priority="1637" operator="containsText" text="Deferred">
      <formula>NOT(ISERROR(SEARCH("Deferred",I71)))</formula>
    </cfRule>
    <cfRule type="containsText" dxfId="1429" priority="1638" operator="containsText" text="Deleted">
      <formula>NOT(ISERROR(SEARCH("Deleted",I71)))</formula>
    </cfRule>
    <cfRule type="containsText" dxfId="1428" priority="1639" operator="containsText" text="In Danger of Falling Behind Target">
      <formula>NOT(ISERROR(SEARCH("In Danger of Falling Behind Target",I71)))</formula>
    </cfRule>
    <cfRule type="containsText" dxfId="1427" priority="1640" operator="containsText" text="Not yet due">
      <formula>NOT(ISERROR(SEARCH("Not yet due",I71)))</formula>
    </cfRule>
    <cfRule type="containsText" dxfId="1426" priority="1641" operator="containsText" text="Completed Behind Schedule">
      <formula>NOT(ISERROR(SEARCH("Completed Behind Schedule",I71)))</formula>
    </cfRule>
    <cfRule type="containsText" dxfId="1425" priority="1642" operator="containsText" text="Off Target">
      <formula>NOT(ISERROR(SEARCH("Off Target",I71)))</formula>
    </cfRule>
    <cfRule type="containsText" dxfId="1424" priority="1643" operator="containsText" text="In Danger of Falling Behind Target">
      <formula>NOT(ISERROR(SEARCH("In Danger of Falling Behind Target",I71)))</formula>
    </cfRule>
    <cfRule type="containsText" dxfId="1423" priority="1644" operator="containsText" text="On Track to be Achieved">
      <formula>NOT(ISERROR(SEARCH("On Track to be Achieved",I71)))</formula>
    </cfRule>
    <cfRule type="containsText" dxfId="1422" priority="1645" operator="containsText" text="Fully Achieved">
      <formula>NOT(ISERROR(SEARCH("Fully Achieved",I71)))</formula>
    </cfRule>
    <cfRule type="containsText" dxfId="1421" priority="1646" operator="containsText" text="Update not Provided">
      <formula>NOT(ISERROR(SEARCH("Update not Provided",I71)))</formula>
    </cfRule>
    <cfRule type="containsText" dxfId="1420" priority="1647" operator="containsText" text="Not yet due">
      <formula>NOT(ISERROR(SEARCH("Not yet due",I71)))</formula>
    </cfRule>
    <cfRule type="containsText" dxfId="1419" priority="1648" operator="containsText" text="Completed Behind Schedule">
      <formula>NOT(ISERROR(SEARCH("Completed Behind Schedule",I71)))</formula>
    </cfRule>
    <cfRule type="containsText" dxfId="1418" priority="1649" operator="containsText" text="Off Target">
      <formula>NOT(ISERROR(SEARCH("Off Target",I71)))</formula>
    </cfRule>
    <cfRule type="containsText" dxfId="1417" priority="1650" operator="containsText" text="In Danger of Falling Behind Target">
      <formula>NOT(ISERROR(SEARCH("In Danger of Falling Behind Target",I71)))</formula>
    </cfRule>
    <cfRule type="containsText" dxfId="1416" priority="1651" operator="containsText" text="On Track to be Achieved">
      <formula>NOT(ISERROR(SEARCH("On Track to be Achieved",I71)))</formula>
    </cfRule>
    <cfRule type="containsText" dxfId="1415" priority="1652" operator="containsText" text="Fully Achieved">
      <formula>NOT(ISERROR(SEARCH("Fully Achieved",I71)))</formula>
    </cfRule>
    <cfRule type="containsText" dxfId="1414" priority="1653" operator="containsText" text="Fully Achieved">
      <formula>NOT(ISERROR(SEARCH("Fully Achieved",I71)))</formula>
    </cfRule>
    <cfRule type="containsText" dxfId="1413" priority="1654" operator="containsText" text="Fully Achieved">
      <formula>NOT(ISERROR(SEARCH("Fully Achieved",I71)))</formula>
    </cfRule>
    <cfRule type="containsText" dxfId="1412" priority="1655" operator="containsText" text="Deferred">
      <formula>NOT(ISERROR(SEARCH("Deferred",I71)))</formula>
    </cfRule>
    <cfRule type="containsText" dxfId="1411" priority="1656" operator="containsText" text="Deleted">
      <formula>NOT(ISERROR(SEARCH("Deleted",I71)))</formula>
    </cfRule>
    <cfRule type="containsText" dxfId="1410" priority="1657" operator="containsText" text="In Danger of Falling Behind Target">
      <formula>NOT(ISERROR(SEARCH("In Danger of Falling Behind Target",I71)))</formula>
    </cfRule>
    <cfRule type="containsText" dxfId="1409" priority="1658" operator="containsText" text="Not yet due">
      <formula>NOT(ISERROR(SEARCH("Not yet due",I71)))</formula>
    </cfRule>
    <cfRule type="containsText" dxfId="1408" priority="1659" operator="containsText" text="Update not Provided">
      <formula>NOT(ISERROR(SEARCH("Update not Provided",I71)))</formula>
    </cfRule>
  </conditionalFormatting>
  <conditionalFormatting sqref="I71">
    <cfRule type="containsText" dxfId="1407" priority="1588" operator="containsText" text="On track to be achieved">
      <formula>NOT(ISERROR(SEARCH("On track to be achieved",I71)))</formula>
    </cfRule>
    <cfRule type="containsText" dxfId="1406" priority="1589" operator="containsText" text="Deferred">
      <formula>NOT(ISERROR(SEARCH("Deferred",I71)))</formula>
    </cfRule>
    <cfRule type="containsText" dxfId="1405" priority="1590" operator="containsText" text="Deleted">
      <formula>NOT(ISERROR(SEARCH("Deleted",I71)))</formula>
    </cfRule>
    <cfRule type="containsText" dxfId="1404" priority="1591" operator="containsText" text="In Danger of Falling Behind Target">
      <formula>NOT(ISERROR(SEARCH("In Danger of Falling Behind Target",I71)))</formula>
    </cfRule>
    <cfRule type="containsText" dxfId="1403" priority="1592" operator="containsText" text="Not yet due">
      <formula>NOT(ISERROR(SEARCH("Not yet due",I71)))</formula>
    </cfRule>
    <cfRule type="containsText" dxfId="1402" priority="1593" operator="containsText" text="Update not Provided">
      <formula>NOT(ISERROR(SEARCH("Update not Provided",I71)))</formula>
    </cfRule>
    <cfRule type="containsText" dxfId="1401" priority="1594" operator="containsText" text="Not yet due">
      <formula>NOT(ISERROR(SEARCH("Not yet due",I71)))</formula>
    </cfRule>
    <cfRule type="containsText" dxfId="1400" priority="1595" operator="containsText" text="Completed Behind Schedule">
      <formula>NOT(ISERROR(SEARCH("Completed Behind Schedule",I71)))</formula>
    </cfRule>
    <cfRule type="containsText" dxfId="1399" priority="1596" operator="containsText" text="Off Target">
      <formula>NOT(ISERROR(SEARCH("Off Target",I71)))</formula>
    </cfRule>
    <cfRule type="containsText" dxfId="1398" priority="1597" operator="containsText" text="On Track to be Achieved">
      <formula>NOT(ISERROR(SEARCH("On Track to be Achieved",I71)))</formula>
    </cfRule>
    <cfRule type="containsText" dxfId="1397" priority="1598" operator="containsText" text="Fully Achieved">
      <formula>NOT(ISERROR(SEARCH("Fully Achieved",I71)))</formula>
    </cfRule>
    <cfRule type="containsText" dxfId="1396" priority="1599" operator="containsText" text="Not yet due">
      <formula>NOT(ISERROR(SEARCH("Not yet due",I71)))</formula>
    </cfRule>
    <cfRule type="containsText" dxfId="1395" priority="1600" operator="containsText" text="Not Yet Due">
      <formula>NOT(ISERROR(SEARCH("Not Yet Due",I71)))</formula>
    </cfRule>
    <cfRule type="containsText" dxfId="1394" priority="1601" operator="containsText" text="Deferred">
      <formula>NOT(ISERROR(SEARCH("Deferred",I71)))</formula>
    </cfRule>
    <cfRule type="containsText" dxfId="1393" priority="1602" operator="containsText" text="Deleted">
      <formula>NOT(ISERROR(SEARCH("Deleted",I71)))</formula>
    </cfRule>
    <cfRule type="containsText" dxfId="1392" priority="1603" operator="containsText" text="In Danger of Falling Behind Target">
      <formula>NOT(ISERROR(SEARCH("In Danger of Falling Behind Target",I71)))</formula>
    </cfRule>
    <cfRule type="containsText" dxfId="1391" priority="1604" operator="containsText" text="Not yet due">
      <formula>NOT(ISERROR(SEARCH("Not yet due",I71)))</formula>
    </cfRule>
    <cfRule type="containsText" dxfId="1390" priority="1605" operator="containsText" text="Completed Behind Schedule">
      <formula>NOT(ISERROR(SEARCH("Completed Behind Schedule",I71)))</formula>
    </cfRule>
    <cfRule type="containsText" dxfId="1389" priority="1606" operator="containsText" text="Off Target">
      <formula>NOT(ISERROR(SEARCH("Off Target",I71)))</formula>
    </cfRule>
    <cfRule type="containsText" dxfId="1388" priority="1607" operator="containsText" text="In Danger of Falling Behind Target">
      <formula>NOT(ISERROR(SEARCH("In Danger of Falling Behind Target",I71)))</formula>
    </cfRule>
    <cfRule type="containsText" dxfId="1387" priority="1608" operator="containsText" text="On Track to be Achieved">
      <formula>NOT(ISERROR(SEARCH("On Track to be Achieved",I71)))</formula>
    </cfRule>
    <cfRule type="containsText" dxfId="1386" priority="1609" operator="containsText" text="Fully Achieved">
      <formula>NOT(ISERROR(SEARCH("Fully Achieved",I71)))</formula>
    </cfRule>
    <cfRule type="containsText" dxfId="1385" priority="1610" operator="containsText" text="Update not Provided">
      <formula>NOT(ISERROR(SEARCH("Update not Provided",I71)))</formula>
    </cfRule>
    <cfRule type="containsText" dxfId="1384" priority="1611" operator="containsText" text="Not yet due">
      <formula>NOT(ISERROR(SEARCH("Not yet due",I71)))</formula>
    </cfRule>
    <cfRule type="containsText" dxfId="1383" priority="1612" operator="containsText" text="Completed Behind Schedule">
      <formula>NOT(ISERROR(SEARCH("Completed Behind Schedule",I71)))</formula>
    </cfRule>
    <cfRule type="containsText" dxfId="1382" priority="1613" operator="containsText" text="Off Target">
      <formula>NOT(ISERROR(SEARCH("Off Target",I71)))</formula>
    </cfRule>
    <cfRule type="containsText" dxfId="1381" priority="1614" operator="containsText" text="In Danger of Falling Behind Target">
      <formula>NOT(ISERROR(SEARCH("In Danger of Falling Behind Target",I71)))</formula>
    </cfRule>
    <cfRule type="containsText" dxfId="1380" priority="1615" operator="containsText" text="On Track to be Achieved">
      <formula>NOT(ISERROR(SEARCH("On Track to be Achieved",I71)))</formula>
    </cfRule>
    <cfRule type="containsText" dxfId="1379" priority="1616" operator="containsText" text="Fully Achieved">
      <formula>NOT(ISERROR(SEARCH("Fully Achieved",I71)))</formula>
    </cfRule>
    <cfRule type="containsText" dxfId="1378" priority="1617" operator="containsText" text="Fully Achieved">
      <formula>NOT(ISERROR(SEARCH("Fully Achieved",I71)))</formula>
    </cfRule>
    <cfRule type="containsText" dxfId="1377" priority="1618" operator="containsText" text="Fully Achieved">
      <formula>NOT(ISERROR(SEARCH("Fully Achieved",I71)))</formula>
    </cfRule>
    <cfRule type="containsText" dxfId="1376" priority="1619" operator="containsText" text="Deferred">
      <formula>NOT(ISERROR(SEARCH("Deferred",I71)))</formula>
    </cfRule>
    <cfRule type="containsText" dxfId="1375" priority="1620" operator="containsText" text="Deleted">
      <formula>NOT(ISERROR(SEARCH("Deleted",I71)))</formula>
    </cfRule>
    <cfRule type="containsText" dxfId="1374" priority="1621" operator="containsText" text="In Danger of Falling Behind Target">
      <formula>NOT(ISERROR(SEARCH("In Danger of Falling Behind Target",I71)))</formula>
    </cfRule>
    <cfRule type="containsText" dxfId="1373" priority="1622" operator="containsText" text="Not yet due">
      <formula>NOT(ISERROR(SEARCH("Not yet due",I71)))</formula>
    </cfRule>
    <cfRule type="containsText" dxfId="1372" priority="1623" operator="containsText" text="Update not Provided">
      <formula>NOT(ISERROR(SEARCH("Update not Provided",I71)))</formula>
    </cfRule>
  </conditionalFormatting>
  <conditionalFormatting sqref="I71">
    <cfRule type="containsText" dxfId="1371" priority="1552" operator="containsText" text="On track to be achieved">
      <formula>NOT(ISERROR(SEARCH("On track to be achieved",I71)))</formula>
    </cfRule>
    <cfRule type="containsText" dxfId="1370" priority="1553" operator="containsText" text="Deferred">
      <formula>NOT(ISERROR(SEARCH("Deferred",I71)))</formula>
    </cfRule>
    <cfRule type="containsText" dxfId="1369" priority="1554" operator="containsText" text="Deleted">
      <formula>NOT(ISERROR(SEARCH("Deleted",I71)))</formula>
    </cfRule>
    <cfRule type="containsText" dxfId="1368" priority="1555" operator="containsText" text="In Danger of Falling Behind Target">
      <formula>NOT(ISERROR(SEARCH("In Danger of Falling Behind Target",I71)))</formula>
    </cfRule>
    <cfRule type="containsText" dxfId="1367" priority="1556" operator="containsText" text="Not yet due">
      <formula>NOT(ISERROR(SEARCH("Not yet due",I71)))</formula>
    </cfRule>
    <cfRule type="containsText" dxfId="1366" priority="1557" operator="containsText" text="Update not Provided">
      <formula>NOT(ISERROR(SEARCH("Update not Provided",I71)))</formula>
    </cfRule>
    <cfRule type="containsText" dxfId="1365" priority="1558" operator="containsText" text="Not yet due">
      <formula>NOT(ISERROR(SEARCH("Not yet due",I71)))</formula>
    </cfRule>
    <cfRule type="containsText" dxfId="1364" priority="1559" operator="containsText" text="Completed Behind Schedule">
      <formula>NOT(ISERROR(SEARCH("Completed Behind Schedule",I71)))</formula>
    </cfRule>
    <cfRule type="containsText" dxfId="1363" priority="1560" operator="containsText" text="Off Target">
      <formula>NOT(ISERROR(SEARCH("Off Target",I71)))</formula>
    </cfRule>
    <cfRule type="containsText" dxfId="1362" priority="1561" operator="containsText" text="On Track to be Achieved">
      <formula>NOT(ISERROR(SEARCH("On Track to be Achieved",I71)))</formula>
    </cfRule>
    <cfRule type="containsText" dxfId="1361" priority="1562" operator="containsText" text="Fully Achieved">
      <formula>NOT(ISERROR(SEARCH("Fully Achieved",I71)))</formula>
    </cfRule>
    <cfRule type="containsText" dxfId="1360" priority="1563" operator="containsText" text="Not yet due">
      <formula>NOT(ISERROR(SEARCH("Not yet due",I71)))</formula>
    </cfRule>
    <cfRule type="containsText" dxfId="1359" priority="1564" operator="containsText" text="Not Yet Due">
      <formula>NOT(ISERROR(SEARCH("Not Yet Due",I71)))</formula>
    </cfRule>
    <cfRule type="containsText" dxfId="1358" priority="1565" operator="containsText" text="Deferred">
      <formula>NOT(ISERROR(SEARCH("Deferred",I71)))</formula>
    </cfRule>
    <cfRule type="containsText" dxfId="1357" priority="1566" operator="containsText" text="Deleted">
      <formula>NOT(ISERROR(SEARCH("Deleted",I71)))</formula>
    </cfRule>
    <cfRule type="containsText" dxfId="1356" priority="1567" operator="containsText" text="In Danger of Falling Behind Target">
      <formula>NOT(ISERROR(SEARCH("In Danger of Falling Behind Target",I71)))</formula>
    </cfRule>
    <cfRule type="containsText" dxfId="1355" priority="1568" operator="containsText" text="Not yet due">
      <formula>NOT(ISERROR(SEARCH("Not yet due",I71)))</formula>
    </cfRule>
    <cfRule type="containsText" dxfId="1354" priority="1569" operator="containsText" text="Completed Behind Schedule">
      <formula>NOT(ISERROR(SEARCH("Completed Behind Schedule",I71)))</formula>
    </cfRule>
    <cfRule type="containsText" dxfId="1353" priority="1570" operator="containsText" text="Off Target">
      <formula>NOT(ISERROR(SEARCH("Off Target",I71)))</formula>
    </cfRule>
    <cfRule type="containsText" dxfId="1352" priority="1571" operator="containsText" text="In Danger of Falling Behind Target">
      <formula>NOT(ISERROR(SEARCH("In Danger of Falling Behind Target",I71)))</formula>
    </cfRule>
    <cfRule type="containsText" dxfId="1351" priority="1572" operator="containsText" text="On Track to be Achieved">
      <formula>NOT(ISERROR(SEARCH("On Track to be Achieved",I71)))</formula>
    </cfRule>
    <cfRule type="containsText" dxfId="1350" priority="1573" operator="containsText" text="Fully Achieved">
      <formula>NOT(ISERROR(SEARCH("Fully Achieved",I71)))</formula>
    </cfRule>
    <cfRule type="containsText" dxfId="1349" priority="1574" operator="containsText" text="Update not Provided">
      <formula>NOT(ISERROR(SEARCH("Update not Provided",I71)))</formula>
    </cfRule>
    <cfRule type="containsText" dxfId="1348" priority="1575" operator="containsText" text="Not yet due">
      <formula>NOT(ISERROR(SEARCH("Not yet due",I71)))</formula>
    </cfRule>
    <cfRule type="containsText" dxfId="1347" priority="1576" operator="containsText" text="Completed Behind Schedule">
      <formula>NOT(ISERROR(SEARCH("Completed Behind Schedule",I71)))</formula>
    </cfRule>
    <cfRule type="containsText" dxfId="1346" priority="1577" operator="containsText" text="Off Target">
      <formula>NOT(ISERROR(SEARCH("Off Target",I71)))</formula>
    </cfRule>
    <cfRule type="containsText" dxfId="1345" priority="1578" operator="containsText" text="In Danger of Falling Behind Target">
      <formula>NOT(ISERROR(SEARCH("In Danger of Falling Behind Target",I71)))</formula>
    </cfRule>
    <cfRule type="containsText" dxfId="1344" priority="1579" operator="containsText" text="On Track to be Achieved">
      <formula>NOT(ISERROR(SEARCH("On Track to be Achieved",I71)))</formula>
    </cfRule>
    <cfRule type="containsText" dxfId="1343" priority="1580" operator="containsText" text="Fully Achieved">
      <formula>NOT(ISERROR(SEARCH("Fully Achieved",I71)))</formula>
    </cfRule>
    <cfRule type="containsText" dxfId="1342" priority="1581" operator="containsText" text="Fully Achieved">
      <formula>NOT(ISERROR(SEARCH("Fully Achieved",I71)))</formula>
    </cfRule>
    <cfRule type="containsText" dxfId="1341" priority="1582" operator="containsText" text="Fully Achieved">
      <formula>NOT(ISERROR(SEARCH("Fully Achieved",I71)))</formula>
    </cfRule>
    <cfRule type="containsText" dxfId="1340" priority="1583" operator="containsText" text="Deferred">
      <formula>NOT(ISERROR(SEARCH("Deferred",I71)))</formula>
    </cfRule>
    <cfRule type="containsText" dxfId="1339" priority="1584" operator="containsText" text="Deleted">
      <formula>NOT(ISERROR(SEARCH("Deleted",I71)))</formula>
    </cfRule>
    <cfRule type="containsText" dxfId="1338" priority="1585" operator="containsText" text="In Danger of Falling Behind Target">
      <formula>NOT(ISERROR(SEARCH("In Danger of Falling Behind Target",I71)))</formula>
    </cfRule>
    <cfRule type="containsText" dxfId="1337" priority="1586" operator="containsText" text="Not yet due">
      <formula>NOT(ISERROR(SEARCH("Not yet due",I71)))</formula>
    </cfRule>
    <cfRule type="containsText" dxfId="1336" priority="1587" operator="containsText" text="Update not Provided">
      <formula>NOT(ISERROR(SEARCH("Update not Provided",I71)))</formula>
    </cfRule>
  </conditionalFormatting>
  <conditionalFormatting sqref="I72:I77">
    <cfRule type="containsText" dxfId="1335" priority="1516" operator="containsText" text="On track to be achieved">
      <formula>NOT(ISERROR(SEARCH("On track to be achieved",I72)))</formula>
    </cfRule>
    <cfRule type="containsText" dxfId="1334" priority="1517" operator="containsText" text="Deferred">
      <formula>NOT(ISERROR(SEARCH("Deferred",I72)))</formula>
    </cfRule>
    <cfRule type="containsText" dxfId="1333" priority="1518" operator="containsText" text="Deleted">
      <formula>NOT(ISERROR(SEARCH("Deleted",I72)))</formula>
    </cfRule>
    <cfRule type="containsText" dxfId="1332" priority="1519" operator="containsText" text="In Danger of Falling Behind Target">
      <formula>NOT(ISERROR(SEARCH("In Danger of Falling Behind Target",I72)))</formula>
    </cfRule>
    <cfRule type="containsText" dxfId="1331" priority="1520" operator="containsText" text="Not yet due">
      <formula>NOT(ISERROR(SEARCH("Not yet due",I72)))</formula>
    </cfRule>
    <cfRule type="containsText" dxfId="1330" priority="1521" operator="containsText" text="Update not Provided">
      <formula>NOT(ISERROR(SEARCH("Update not Provided",I72)))</formula>
    </cfRule>
    <cfRule type="containsText" dxfId="1329" priority="1522" operator="containsText" text="Not yet due">
      <formula>NOT(ISERROR(SEARCH("Not yet due",I72)))</formula>
    </cfRule>
    <cfRule type="containsText" dxfId="1328" priority="1523" operator="containsText" text="Completed Behind Schedule">
      <formula>NOT(ISERROR(SEARCH("Completed Behind Schedule",I72)))</formula>
    </cfRule>
    <cfRule type="containsText" dxfId="1327" priority="1524" operator="containsText" text="Off Target">
      <formula>NOT(ISERROR(SEARCH("Off Target",I72)))</formula>
    </cfRule>
    <cfRule type="containsText" dxfId="1326" priority="1525" operator="containsText" text="On Track to be Achieved">
      <formula>NOT(ISERROR(SEARCH("On Track to be Achieved",I72)))</formula>
    </cfRule>
    <cfRule type="containsText" dxfId="1325" priority="1526" operator="containsText" text="Fully Achieved">
      <formula>NOT(ISERROR(SEARCH("Fully Achieved",I72)))</formula>
    </cfRule>
    <cfRule type="containsText" dxfId="1324" priority="1527" operator="containsText" text="Not yet due">
      <formula>NOT(ISERROR(SEARCH("Not yet due",I72)))</formula>
    </cfRule>
    <cfRule type="containsText" dxfId="1323" priority="1528" operator="containsText" text="Not Yet Due">
      <formula>NOT(ISERROR(SEARCH("Not Yet Due",I72)))</formula>
    </cfRule>
    <cfRule type="containsText" dxfId="1322" priority="1529" operator="containsText" text="Deferred">
      <formula>NOT(ISERROR(SEARCH("Deferred",I72)))</formula>
    </cfRule>
    <cfRule type="containsText" dxfId="1321" priority="1530" operator="containsText" text="Deleted">
      <formula>NOT(ISERROR(SEARCH("Deleted",I72)))</formula>
    </cfRule>
    <cfRule type="containsText" dxfId="1320" priority="1531" operator="containsText" text="In Danger of Falling Behind Target">
      <formula>NOT(ISERROR(SEARCH("In Danger of Falling Behind Target",I72)))</formula>
    </cfRule>
    <cfRule type="containsText" dxfId="1319" priority="1532" operator="containsText" text="Not yet due">
      <formula>NOT(ISERROR(SEARCH("Not yet due",I72)))</formula>
    </cfRule>
    <cfRule type="containsText" dxfId="1318" priority="1533" operator="containsText" text="Completed Behind Schedule">
      <formula>NOT(ISERROR(SEARCH("Completed Behind Schedule",I72)))</formula>
    </cfRule>
    <cfRule type="containsText" dxfId="1317" priority="1534" operator="containsText" text="Off Target">
      <formula>NOT(ISERROR(SEARCH("Off Target",I72)))</formula>
    </cfRule>
    <cfRule type="containsText" dxfId="1316" priority="1535" operator="containsText" text="In Danger of Falling Behind Target">
      <formula>NOT(ISERROR(SEARCH("In Danger of Falling Behind Target",I72)))</formula>
    </cfRule>
    <cfRule type="containsText" dxfId="1315" priority="1536" operator="containsText" text="On Track to be Achieved">
      <formula>NOT(ISERROR(SEARCH("On Track to be Achieved",I72)))</formula>
    </cfRule>
    <cfRule type="containsText" dxfId="1314" priority="1537" operator="containsText" text="Fully Achieved">
      <formula>NOT(ISERROR(SEARCH("Fully Achieved",I72)))</formula>
    </cfRule>
    <cfRule type="containsText" dxfId="1313" priority="1538" operator="containsText" text="Update not Provided">
      <formula>NOT(ISERROR(SEARCH("Update not Provided",I72)))</formula>
    </cfRule>
    <cfRule type="containsText" dxfId="1312" priority="1539" operator="containsText" text="Not yet due">
      <formula>NOT(ISERROR(SEARCH("Not yet due",I72)))</formula>
    </cfRule>
    <cfRule type="containsText" dxfId="1311" priority="1540" operator="containsText" text="Completed Behind Schedule">
      <formula>NOT(ISERROR(SEARCH("Completed Behind Schedule",I72)))</formula>
    </cfRule>
    <cfRule type="containsText" dxfId="1310" priority="1541" operator="containsText" text="Off Target">
      <formula>NOT(ISERROR(SEARCH("Off Target",I72)))</formula>
    </cfRule>
    <cfRule type="containsText" dxfId="1309" priority="1542" operator="containsText" text="In Danger of Falling Behind Target">
      <formula>NOT(ISERROR(SEARCH("In Danger of Falling Behind Target",I72)))</formula>
    </cfRule>
    <cfRule type="containsText" dxfId="1308" priority="1543" operator="containsText" text="On Track to be Achieved">
      <formula>NOT(ISERROR(SEARCH("On Track to be Achieved",I72)))</formula>
    </cfRule>
    <cfRule type="containsText" dxfId="1307" priority="1544" operator="containsText" text="Fully Achieved">
      <formula>NOT(ISERROR(SEARCH("Fully Achieved",I72)))</formula>
    </cfRule>
    <cfRule type="containsText" dxfId="1306" priority="1545" operator="containsText" text="Fully Achieved">
      <formula>NOT(ISERROR(SEARCH("Fully Achieved",I72)))</formula>
    </cfRule>
    <cfRule type="containsText" dxfId="1305" priority="1546" operator="containsText" text="Fully Achieved">
      <formula>NOT(ISERROR(SEARCH("Fully Achieved",I72)))</formula>
    </cfRule>
    <cfRule type="containsText" dxfId="1304" priority="1547" operator="containsText" text="Deferred">
      <formula>NOT(ISERROR(SEARCH("Deferred",I72)))</formula>
    </cfRule>
    <cfRule type="containsText" dxfId="1303" priority="1548" operator="containsText" text="Deleted">
      <formula>NOT(ISERROR(SEARCH("Deleted",I72)))</formula>
    </cfRule>
    <cfRule type="containsText" dxfId="1302" priority="1549" operator="containsText" text="In Danger of Falling Behind Target">
      <formula>NOT(ISERROR(SEARCH("In Danger of Falling Behind Target",I72)))</formula>
    </cfRule>
    <cfRule type="containsText" dxfId="1301" priority="1550" operator="containsText" text="Not yet due">
      <formula>NOT(ISERROR(SEARCH("Not yet due",I72)))</formula>
    </cfRule>
    <cfRule type="containsText" dxfId="1300" priority="1551" operator="containsText" text="Update not Provided">
      <formula>NOT(ISERROR(SEARCH("Update not Provided",I72)))</formula>
    </cfRule>
  </conditionalFormatting>
  <conditionalFormatting sqref="I79:I81">
    <cfRule type="containsText" dxfId="1299" priority="1480" operator="containsText" text="On track to be achieved">
      <formula>NOT(ISERROR(SEARCH("On track to be achieved",I79)))</formula>
    </cfRule>
    <cfRule type="containsText" dxfId="1298" priority="1481" operator="containsText" text="Deferred">
      <formula>NOT(ISERROR(SEARCH("Deferred",I79)))</formula>
    </cfRule>
    <cfRule type="containsText" dxfId="1297" priority="1482" operator="containsText" text="Deleted">
      <formula>NOT(ISERROR(SEARCH("Deleted",I79)))</formula>
    </cfRule>
    <cfRule type="containsText" dxfId="1296" priority="1483" operator="containsText" text="In Danger of Falling Behind Target">
      <formula>NOT(ISERROR(SEARCH("In Danger of Falling Behind Target",I79)))</formula>
    </cfRule>
    <cfRule type="containsText" dxfId="1295" priority="1484" operator="containsText" text="Not yet due">
      <formula>NOT(ISERROR(SEARCH("Not yet due",I79)))</formula>
    </cfRule>
    <cfRule type="containsText" dxfId="1294" priority="1485" operator="containsText" text="Update not Provided">
      <formula>NOT(ISERROR(SEARCH("Update not Provided",I79)))</formula>
    </cfRule>
    <cfRule type="containsText" dxfId="1293" priority="1486" operator="containsText" text="Not yet due">
      <formula>NOT(ISERROR(SEARCH("Not yet due",I79)))</formula>
    </cfRule>
    <cfRule type="containsText" dxfId="1292" priority="1487" operator="containsText" text="Completed Behind Schedule">
      <formula>NOT(ISERROR(SEARCH("Completed Behind Schedule",I79)))</formula>
    </cfRule>
    <cfRule type="containsText" dxfId="1291" priority="1488" operator="containsText" text="Off Target">
      <formula>NOT(ISERROR(SEARCH("Off Target",I79)))</formula>
    </cfRule>
    <cfRule type="containsText" dxfId="1290" priority="1489" operator="containsText" text="On Track to be Achieved">
      <formula>NOT(ISERROR(SEARCH("On Track to be Achieved",I79)))</formula>
    </cfRule>
    <cfRule type="containsText" dxfId="1289" priority="1490" operator="containsText" text="Fully Achieved">
      <formula>NOT(ISERROR(SEARCH("Fully Achieved",I79)))</formula>
    </cfRule>
    <cfRule type="containsText" dxfId="1288" priority="1491" operator="containsText" text="Not yet due">
      <formula>NOT(ISERROR(SEARCH("Not yet due",I79)))</formula>
    </cfRule>
    <cfRule type="containsText" dxfId="1287" priority="1492" operator="containsText" text="Not Yet Due">
      <formula>NOT(ISERROR(SEARCH("Not Yet Due",I79)))</formula>
    </cfRule>
    <cfRule type="containsText" dxfId="1286" priority="1493" operator="containsText" text="Deferred">
      <formula>NOT(ISERROR(SEARCH("Deferred",I79)))</formula>
    </cfRule>
    <cfRule type="containsText" dxfId="1285" priority="1494" operator="containsText" text="Deleted">
      <formula>NOT(ISERROR(SEARCH("Deleted",I79)))</formula>
    </cfRule>
    <cfRule type="containsText" dxfId="1284" priority="1495" operator="containsText" text="In Danger of Falling Behind Target">
      <formula>NOT(ISERROR(SEARCH("In Danger of Falling Behind Target",I79)))</formula>
    </cfRule>
    <cfRule type="containsText" dxfId="1283" priority="1496" operator="containsText" text="Not yet due">
      <formula>NOT(ISERROR(SEARCH("Not yet due",I79)))</formula>
    </cfRule>
    <cfRule type="containsText" dxfId="1282" priority="1497" operator="containsText" text="Completed Behind Schedule">
      <formula>NOT(ISERROR(SEARCH("Completed Behind Schedule",I79)))</formula>
    </cfRule>
    <cfRule type="containsText" dxfId="1281" priority="1498" operator="containsText" text="Off Target">
      <formula>NOT(ISERROR(SEARCH("Off Target",I79)))</formula>
    </cfRule>
    <cfRule type="containsText" dxfId="1280" priority="1499" operator="containsText" text="In Danger of Falling Behind Target">
      <formula>NOT(ISERROR(SEARCH("In Danger of Falling Behind Target",I79)))</formula>
    </cfRule>
    <cfRule type="containsText" dxfId="1279" priority="1500" operator="containsText" text="On Track to be Achieved">
      <formula>NOT(ISERROR(SEARCH("On Track to be Achieved",I79)))</formula>
    </cfRule>
    <cfRule type="containsText" dxfId="1278" priority="1501" operator="containsText" text="Fully Achieved">
      <formula>NOT(ISERROR(SEARCH("Fully Achieved",I79)))</formula>
    </cfRule>
    <cfRule type="containsText" dxfId="1277" priority="1502" operator="containsText" text="Update not Provided">
      <formula>NOT(ISERROR(SEARCH("Update not Provided",I79)))</formula>
    </cfRule>
    <cfRule type="containsText" dxfId="1276" priority="1503" operator="containsText" text="Not yet due">
      <formula>NOT(ISERROR(SEARCH("Not yet due",I79)))</formula>
    </cfRule>
    <cfRule type="containsText" dxfId="1275" priority="1504" operator="containsText" text="Completed Behind Schedule">
      <formula>NOT(ISERROR(SEARCH("Completed Behind Schedule",I79)))</formula>
    </cfRule>
    <cfRule type="containsText" dxfId="1274" priority="1505" operator="containsText" text="Off Target">
      <formula>NOT(ISERROR(SEARCH("Off Target",I79)))</formula>
    </cfRule>
    <cfRule type="containsText" dxfId="1273" priority="1506" operator="containsText" text="In Danger of Falling Behind Target">
      <formula>NOT(ISERROR(SEARCH("In Danger of Falling Behind Target",I79)))</formula>
    </cfRule>
    <cfRule type="containsText" dxfId="1272" priority="1507" operator="containsText" text="On Track to be Achieved">
      <formula>NOT(ISERROR(SEARCH("On Track to be Achieved",I79)))</formula>
    </cfRule>
    <cfRule type="containsText" dxfId="1271" priority="1508" operator="containsText" text="Fully Achieved">
      <formula>NOT(ISERROR(SEARCH("Fully Achieved",I79)))</formula>
    </cfRule>
    <cfRule type="containsText" dxfId="1270" priority="1509" operator="containsText" text="Fully Achieved">
      <formula>NOT(ISERROR(SEARCH("Fully Achieved",I79)))</formula>
    </cfRule>
    <cfRule type="containsText" dxfId="1269" priority="1510" operator="containsText" text="Fully Achieved">
      <formula>NOT(ISERROR(SEARCH("Fully Achieved",I79)))</formula>
    </cfRule>
    <cfRule type="containsText" dxfId="1268" priority="1511" operator="containsText" text="Deferred">
      <formula>NOT(ISERROR(SEARCH("Deferred",I79)))</formula>
    </cfRule>
    <cfRule type="containsText" dxfId="1267" priority="1512" operator="containsText" text="Deleted">
      <formula>NOT(ISERROR(SEARCH("Deleted",I79)))</formula>
    </cfRule>
    <cfRule type="containsText" dxfId="1266" priority="1513" operator="containsText" text="In Danger of Falling Behind Target">
      <formula>NOT(ISERROR(SEARCH("In Danger of Falling Behind Target",I79)))</formula>
    </cfRule>
    <cfRule type="containsText" dxfId="1265" priority="1514" operator="containsText" text="Not yet due">
      <formula>NOT(ISERROR(SEARCH("Not yet due",I79)))</formula>
    </cfRule>
    <cfRule type="containsText" dxfId="1264" priority="1515" operator="containsText" text="Update not Provided">
      <formula>NOT(ISERROR(SEARCH("Update not Provided",I79)))</formula>
    </cfRule>
  </conditionalFormatting>
  <conditionalFormatting sqref="I82">
    <cfRule type="containsText" dxfId="1263" priority="1444" operator="containsText" text="On track to be achieved">
      <formula>NOT(ISERROR(SEARCH("On track to be achieved",I82)))</formula>
    </cfRule>
    <cfRule type="containsText" dxfId="1262" priority="1445" operator="containsText" text="Deferred">
      <formula>NOT(ISERROR(SEARCH("Deferred",I82)))</formula>
    </cfRule>
    <cfRule type="containsText" dxfId="1261" priority="1446" operator="containsText" text="Deleted">
      <formula>NOT(ISERROR(SEARCH("Deleted",I82)))</formula>
    </cfRule>
    <cfRule type="containsText" dxfId="1260" priority="1447" operator="containsText" text="In Danger of Falling Behind Target">
      <formula>NOT(ISERROR(SEARCH("In Danger of Falling Behind Target",I82)))</formula>
    </cfRule>
    <cfRule type="containsText" dxfId="1259" priority="1448" operator="containsText" text="Not yet due">
      <formula>NOT(ISERROR(SEARCH("Not yet due",I82)))</formula>
    </cfRule>
    <cfRule type="containsText" dxfId="1258" priority="1449" operator="containsText" text="Update not Provided">
      <formula>NOT(ISERROR(SEARCH("Update not Provided",I82)))</formula>
    </cfRule>
    <cfRule type="containsText" dxfId="1257" priority="1450" operator="containsText" text="Not yet due">
      <formula>NOT(ISERROR(SEARCH("Not yet due",I82)))</formula>
    </cfRule>
    <cfRule type="containsText" dxfId="1256" priority="1451" operator="containsText" text="Completed Behind Schedule">
      <formula>NOT(ISERROR(SEARCH("Completed Behind Schedule",I82)))</formula>
    </cfRule>
    <cfRule type="containsText" dxfId="1255" priority="1452" operator="containsText" text="Off Target">
      <formula>NOT(ISERROR(SEARCH("Off Target",I82)))</formula>
    </cfRule>
    <cfRule type="containsText" dxfId="1254" priority="1453" operator="containsText" text="On Track to be Achieved">
      <formula>NOT(ISERROR(SEARCH("On Track to be Achieved",I82)))</formula>
    </cfRule>
    <cfRule type="containsText" dxfId="1253" priority="1454" operator="containsText" text="Fully Achieved">
      <formula>NOT(ISERROR(SEARCH("Fully Achieved",I82)))</formula>
    </cfRule>
    <cfRule type="containsText" dxfId="1252" priority="1455" operator="containsText" text="Not yet due">
      <formula>NOT(ISERROR(SEARCH("Not yet due",I82)))</formula>
    </cfRule>
    <cfRule type="containsText" dxfId="1251" priority="1456" operator="containsText" text="Not Yet Due">
      <formula>NOT(ISERROR(SEARCH("Not Yet Due",I82)))</formula>
    </cfRule>
    <cfRule type="containsText" dxfId="1250" priority="1457" operator="containsText" text="Deferred">
      <formula>NOT(ISERROR(SEARCH("Deferred",I82)))</formula>
    </cfRule>
    <cfRule type="containsText" dxfId="1249" priority="1458" operator="containsText" text="Deleted">
      <formula>NOT(ISERROR(SEARCH("Deleted",I82)))</formula>
    </cfRule>
    <cfRule type="containsText" dxfId="1248" priority="1459" operator="containsText" text="In Danger of Falling Behind Target">
      <formula>NOT(ISERROR(SEARCH("In Danger of Falling Behind Target",I82)))</formula>
    </cfRule>
    <cfRule type="containsText" dxfId="1247" priority="1460" operator="containsText" text="Not yet due">
      <formula>NOT(ISERROR(SEARCH("Not yet due",I82)))</formula>
    </cfRule>
    <cfRule type="containsText" dxfId="1246" priority="1461" operator="containsText" text="Completed Behind Schedule">
      <formula>NOT(ISERROR(SEARCH("Completed Behind Schedule",I82)))</formula>
    </cfRule>
    <cfRule type="containsText" dxfId="1245" priority="1462" operator="containsText" text="Off Target">
      <formula>NOT(ISERROR(SEARCH("Off Target",I82)))</formula>
    </cfRule>
    <cfRule type="containsText" dxfId="1244" priority="1463" operator="containsText" text="In Danger of Falling Behind Target">
      <formula>NOT(ISERROR(SEARCH("In Danger of Falling Behind Target",I82)))</formula>
    </cfRule>
    <cfRule type="containsText" dxfId="1243" priority="1464" operator="containsText" text="On Track to be Achieved">
      <formula>NOT(ISERROR(SEARCH("On Track to be Achieved",I82)))</formula>
    </cfRule>
    <cfRule type="containsText" dxfId="1242" priority="1465" operator="containsText" text="Fully Achieved">
      <formula>NOT(ISERROR(SEARCH("Fully Achieved",I82)))</formula>
    </cfRule>
    <cfRule type="containsText" dxfId="1241" priority="1466" operator="containsText" text="Update not Provided">
      <formula>NOT(ISERROR(SEARCH("Update not Provided",I82)))</formula>
    </cfRule>
    <cfRule type="containsText" dxfId="1240" priority="1467" operator="containsText" text="Not yet due">
      <formula>NOT(ISERROR(SEARCH("Not yet due",I82)))</formula>
    </cfRule>
    <cfRule type="containsText" dxfId="1239" priority="1468" operator="containsText" text="Completed Behind Schedule">
      <formula>NOT(ISERROR(SEARCH("Completed Behind Schedule",I82)))</formula>
    </cfRule>
    <cfRule type="containsText" dxfId="1238" priority="1469" operator="containsText" text="Off Target">
      <formula>NOT(ISERROR(SEARCH("Off Target",I82)))</formula>
    </cfRule>
    <cfRule type="containsText" dxfId="1237" priority="1470" operator="containsText" text="In Danger of Falling Behind Target">
      <formula>NOT(ISERROR(SEARCH("In Danger of Falling Behind Target",I82)))</formula>
    </cfRule>
    <cfRule type="containsText" dxfId="1236" priority="1471" operator="containsText" text="On Track to be Achieved">
      <formula>NOT(ISERROR(SEARCH("On Track to be Achieved",I82)))</formula>
    </cfRule>
    <cfRule type="containsText" dxfId="1235" priority="1472" operator="containsText" text="Fully Achieved">
      <formula>NOT(ISERROR(SEARCH("Fully Achieved",I82)))</formula>
    </cfRule>
    <cfRule type="containsText" dxfId="1234" priority="1473" operator="containsText" text="Fully Achieved">
      <formula>NOT(ISERROR(SEARCH("Fully Achieved",I82)))</formula>
    </cfRule>
    <cfRule type="containsText" dxfId="1233" priority="1474" operator="containsText" text="Fully Achieved">
      <formula>NOT(ISERROR(SEARCH("Fully Achieved",I82)))</formula>
    </cfRule>
    <cfRule type="containsText" dxfId="1232" priority="1475" operator="containsText" text="Deferred">
      <formula>NOT(ISERROR(SEARCH("Deferred",I82)))</formula>
    </cfRule>
    <cfRule type="containsText" dxfId="1231" priority="1476" operator="containsText" text="Deleted">
      <formula>NOT(ISERROR(SEARCH("Deleted",I82)))</formula>
    </cfRule>
    <cfRule type="containsText" dxfId="1230" priority="1477" operator="containsText" text="In Danger of Falling Behind Target">
      <formula>NOT(ISERROR(SEARCH("In Danger of Falling Behind Target",I82)))</formula>
    </cfRule>
    <cfRule type="containsText" dxfId="1229" priority="1478" operator="containsText" text="Not yet due">
      <formula>NOT(ISERROR(SEARCH("Not yet due",I82)))</formula>
    </cfRule>
    <cfRule type="containsText" dxfId="1228" priority="1479" operator="containsText" text="Update not Provided">
      <formula>NOT(ISERROR(SEARCH("Update not Provided",I82)))</formula>
    </cfRule>
  </conditionalFormatting>
  <conditionalFormatting sqref="I84:I88">
    <cfRule type="containsText" dxfId="1227" priority="1408" operator="containsText" text="On track to be achieved">
      <formula>NOT(ISERROR(SEARCH("On track to be achieved",I84)))</formula>
    </cfRule>
    <cfRule type="containsText" dxfId="1226" priority="1409" operator="containsText" text="Deferred">
      <formula>NOT(ISERROR(SEARCH("Deferred",I84)))</formula>
    </cfRule>
    <cfRule type="containsText" dxfId="1225" priority="1410" operator="containsText" text="Deleted">
      <formula>NOT(ISERROR(SEARCH("Deleted",I84)))</formula>
    </cfRule>
    <cfRule type="containsText" dxfId="1224" priority="1411" operator="containsText" text="In Danger of Falling Behind Target">
      <formula>NOT(ISERROR(SEARCH("In Danger of Falling Behind Target",I84)))</formula>
    </cfRule>
    <cfRule type="containsText" dxfId="1223" priority="1412" operator="containsText" text="Not yet due">
      <formula>NOT(ISERROR(SEARCH("Not yet due",I84)))</formula>
    </cfRule>
    <cfRule type="containsText" dxfId="1222" priority="1413" operator="containsText" text="Update not Provided">
      <formula>NOT(ISERROR(SEARCH("Update not Provided",I84)))</formula>
    </cfRule>
    <cfRule type="containsText" dxfId="1221" priority="1414" operator="containsText" text="Not yet due">
      <formula>NOT(ISERROR(SEARCH("Not yet due",I84)))</formula>
    </cfRule>
    <cfRule type="containsText" dxfId="1220" priority="1415" operator="containsText" text="Completed Behind Schedule">
      <formula>NOT(ISERROR(SEARCH("Completed Behind Schedule",I84)))</formula>
    </cfRule>
    <cfRule type="containsText" dxfId="1219" priority="1416" operator="containsText" text="Off Target">
      <formula>NOT(ISERROR(SEARCH("Off Target",I84)))</formula>
    </cfRule>
    <cfRule type="containsText" dxfId="1218" priority="1417" operator="containsText" text="On Track to be Achieved">
      <formula>NOT(ISERROR(SEARCH("On Track to be Achieved",I84)))</formula>
    </cfRule>
    <cfRule type="containsText" dxfId="1217" priority="1418" operator="containsText" text="Fully Achieved">
      <formula>NOT(ISERROR(SEARCH("Fully Achieved",I84)))</formula>
    </cfRule>
    <cfRule type="containsText" dxfId="1216" priority="1419" operator="containsText" text="Not yet due">
      <formula>NOT(ISERROR(SEARCH("Not yet due",I84)))</formula>
    </cfRule>
    <cfRule type="containsText" dxfId="1215" priority="1420" operator="containsText" text="Not Yet Due">
      <formula>NOT(ISERROR(SEARCH("Not Yet Due",I84)))</formula>
    </cfRule>
    <cfRule type="containsText" dxfId="1214" priority="1421" operator="containsText" text="Deferred">
      <formula>NOT(ISERROR(SEARCH("Deferred",I84)))</formula>
    </cfRule>
    <cfRule type="containsText" dxfId="1213" priority="1422" operator="containsText" text="Deleted">
      <formula>NOT(ISERROR(SEARCH("Deleted",I84)))</formula>
    </cfRule>
    <cfRule type="containsText" dxfId="1212" priority="1423" operator="containsText" text="In Danger of Falling Behind Target">
      <formula>NOT(ISERROR(SEARCH("In Danger of Falling Behind Target",I84)))</formula>
    </cfRule>
    <cfRule type="containsText" dxfId="1211" priority="1424" operator="containsText" text="Not yet due">
      <formula>NOT(ISERROR(SEARCH("Not yet due",I84)))</formula>
    </cfRule>
    <cfRule type="containsText" dxfId="1210" priority="1425" operator="containsText" text="Completed Behind Schedule">
      <formula>NOT(ISERROR(SEARCH("Completed Behind Schedule",I84)))</formula>
    </cfRule>
    <cfRule type="containsText" dxfId="1209" priority="1426" operator="containsText" text="Off Target">
      <formula>NOT(ISERROR(SEARCH("Off Target",I84)))</formula>
    </cfRule>
    <cfRule type="containsText" dxfId="1208" priority="1427" operator="containsText" text="In Danger of Falling Behind Target">
      <formula>NOT(ISERROR(SEARCH("In Danger of Falling Behind Target",I84)))</formula>
    </cfRule>
    <cfRule type="containsText" dxfId="1207" priority="1428" operator="containsText" text="On Track to be Achieved">
      <formula>NOT(ISERROR(SEARCH("On Track to be Achieved",I84)))</formula>
    </cfRule>
    <cfRule type="containsText" dxfId="1206" priority="1429" operator="containsText" text="Fully Achieved">
      <formula>NOT(ISERROR(SEARCH("Fully Achieved",I84)))</formula>
    </cfRule>
    <cfRule type="containsText" dxfId="1205" priority="1430" operator="containsText" text="Update not Provided">
      <formula>NOT(ISERROR(SEARCH("Update not Provided",I84)))</formula>
    </cfRule>
    <cfRule type="containsText" dxfId="1204" priority="1431" operator="containsText" text="Not yet due">
      <formula>NOT(ISERROR(SEARCH("Not yet due",I84)))</formula>
    </cfRule>
    <cfRule type="containsText" dxfId="1203" priority="1432" operator="containsText" text="Completed Behind Schedule">
      <formula>NOT(ISERROR(SEARCH("Completed Behind Schedule",I84)))</formula>
    </cfRule>
    <cfRule type="containsText" dxfId="1202" priority="1433" operator="containsText" text="Off Target">
      <formula>NOT(ISERROR(SEARCH("Off Target",I84)))</formula>
    </cfRule>
    <cfRule type="containsText" dxfId="1201" priority="1434" operator="containsText" text="In Danger of Falling Behind Target">
      <formula>NOT(ISERROR(SEARCH("In Danger of Falling Behind Target",I84)))</formula>
    </cfRule>
    <cfRule type="containsText" dxfId="1200" priority="1435" operator="containsText" text="On Track to be Achieved">
      <formula>NOT(ISERROR(SEARCH("On Track to be Achieved",I84)))</formula>
    </cfRule>
    <cfRule type="containsText" dxfId="1199" priority="1436" operator="containsText" text="Fully Achieved">
      <formula>NOT(ISERROR(SEARCH("Fully Achieved",I84)))</formula>
    </cfRule>
    <cfRule type="containsText" dxfId="1198" priority="1437" operator="containsText" text="Fully Achieved">
      <formula>NOT(ISERROR(SEARCH("Fully Achieved",I84)))</formula>
    </cfRule>
    <cfRule type="containsText" dxfId="1197" priority="1438" operator="containsText" text="Fully Achieved">
      <formula>NOT(ISERROR(SEARCH("Fully Achieved",I84)))</formula>
    </cfRule>
    <cfRule type="containsText" dxfId="1196" priority="1439" operator="containsText" text="Deferred">
      <formula>NOT(ISERROR(SEARCH("Deferred",I84)))</formula>
    </cfRule>
    <cfRule type="containsText" dxfId="1195" priority="1440" operator="containsText" text="Deleted">
      <formula>NOT(ISERROR(SEARCH("Deleted",I84)))</formula>
    </cfRule>
    <cfRule type="containsText" dxfId="1194" priority="1441" operator="containsText" text="In Danger of Falling Behind Target">
      <formula>NOT(ISERROR(SEARCH("In Danger of Falling Behind Target",I84)))</formula>
    </cfRule>
    <cfRule type="containsText" dxfId="1193" priority="1442" operator="containsText" text="Not yet due">
      <formula>NOT(ISERROR(SEARCH("Not yet due",I84)))</formula>
    </cfRule>
    <cfRule type="containsText" dxfId="1192" priority="1443" operator="containsText" text="Update not Provided">
      <formula>NOT(ISERROR(SEARCH("Update not Provided",I84)))</formula>
    </cfRule>
  </conditionalFormatting>
  <conditionalFormatting sqref="I89:I91">
    <cfRule type="containsText" dxfId="1191" priority="1372" operator="containsText" text="On track to be achieved">
      <formula>NOT(ISERROR(SEARCH("On track to be achieved",I89)))</formula>
    </cfRule>
    <cfRule type="containsText" dxfId="1190" priority="1373" operator="containsText" text="Deferred">
      <formula>NOT(ISERROR(SEARCH("Deferred",I89)))</formula>
    </cfRule>
    <cfRule type="containsText" dxfId="1189" priority="1374" operator="containsText" text="Deleted">
      <formula>NOT(ISERROR(SEARCH("Deleted",I89)))</formula>
    </cfRule>
    <cfRule type="containsText" dxfId="1188" priority="1375" operator="containsText" text="In Danger of Falling Behind Target">
      <formula>NOT(ISERROR(SEARCH("In Danger of Falling Behind Target",I89)))</formula>
    </cfRule>
    <cfRule type="containsText" dxfId="1187" priority="1376" operator="containsText" text="Not yet due">
      <formula>NOT(ISERROR(SEARCH("Not yet due",I89)))</formula>
    </cfRule>
    <cfRule type="containsText" dxfId="1186" priority="1377" operator="containsText" text="Update not Provided">
      <formula>NOT(ISERROR(SEARCH("Update not Provided",I89)))</formula>
    </cfRule>
    <cfRule type="containsText" dxfId="1185" priority="1378" operator="containsText" text="Not yet due">
      <formula>NOT(ISERROR(SEARCH("Not yet due",I89)))</formula>
    </cfRule>
    <cfRule type="containsText" dxfId="1184" priority="1379" operator="containsText" text="Completed Behind Schedule">
      <formula>NOT(ISERROR(SEARCH("Completed Behind Schedule",I89)))</formula>
    </cfRule>
    <cfRule type="containsText" dxfId="1183" priority="1380" operator="containsText" text="Off Target">
      <formula>NOT(ISERROR(SEARCH("Off Target",I89)))</formula>
    </cfRule>
    <cfRule type="containsText" dxfId="1182" priority="1381" operator="containsText" text="On Track to be Achieved">
      <formula>NOT(ISERROR(SEARCH("On Track to be Achieved",I89)))</formula>
    </cfRule>
    <cfRule type="containsText" dxfId="1181" priority="1382" operator="containsText" text="Fully Achieved">
      <formula>NOT(ISERROR(SEARCH("Fully Achieved",I89)))</formula>
    </cfRule>
    <cfRule type="containsText" dxfId="1180" priority="1383" operator="containsText" text="Not yet due">
      <formula>NOT(ISERROR(SEARCH("Not yet due",I89)))</formula>
    </cfRule>
    <cfRule type="containsText" dxfId="1179" priority="1384" operator="containsText" text="Not Yet Due">
      <formula>NOT(ISERROR(SEARCH("Not Yet Due",I89)))</formula>
    </cfRule>
    <cfRule type="containsText" dxfId="1178" priority="1385" operator="containsText" text="Deferred">
      <formula>NOT(ISERROR(SEARCH("Deferred",I89)))</formula>
    </cfRule>
    <cfRule type="containsText" dxfId="1177" priority="1386" operator="containsText" text="Deleted">
      <formula>NOT(ISERROR(SEARCH("Deleted",I89)))</formula>
    </cfRule>
    <cfRule type="containsText" dxfId="1176" priority="1387" operator="containsText" text="In Danger of Falling Behind Target">
      <formula>NOT(ISERROR(SEARCH("In Danger of Falling Behind Target",I89)))</formula>
    </cfRule>
    <cfRule type="containsText" dxfId="1175" priority="1388" operator="containsText" text="Not yet due">
      <formula>NOT(ISERROR(SEARCH("Not yet due",I89)))</formula>
    </cfRule>
    <cfRule type="containsText" dxfId="1174" priority="1389" operator="containsText" text="Completed Behind Schedule">
      <formula>NOT(ISERROR(SEARCH("Completed Behind Schedule",I89)))</formula>
    </cfRule>
    <cfRule type="containsText" dxfId="1173" priority="1390" operator="containsText" text="Off Target">
      <formula>NOT(ISERROR(SEARCH("Off Target",I89)))</formula>
    </cfRule>
    <cfRule type="containsText" dxfId="1172" priority="1391" operator="containsText" text="In Danger of Falling Behind Target">
      <formula>NOT(ISERROR(SEARCH("In Danger of Falling Behind Target",I89)))</formula>
    </cfRule>
    <cfRule type="containsText" dxfId="1171" priority="1392" operator="containsText" text="On Track to be Achieved">
      <formula>NOT(ISERROR(SEARCH("On Track to be Achieved",I89)))</formula>
    </cfRule>
    <cfRule type="containsText" dxfId="1170" priority="1393" operator="containsText" text="Fully Achieved">
      <formula>NOT(ISERROR(SEARCH("Fully Achieved",I89)))</formula>
    </cfRule>
    <cfRule type="containsText" dxfId="1169" priority="1394" operator="containsText" text="Update not Provided">
      <formula>NOT(ISERROR(SEARCH("Update not Provided",I89)))</formula>
    </cfRule>
    <cfRule type="containsText" dxfId="1168" priority="1395" operator="containsText" text="Not yet due">
      <formula>NOT(ISERROR(SEARCH("Not yet due",I89)))</formula>
    </cfRule>
    <cfRule type="containsText" dxfId="1167" priority="1396" operator="containsText" text="Completed Behind Schedule">
      <formula>NOT(ISERROR(SEARCH("Completed Behind Schedule",I89)))</formula>
    </cfRule>
    <cfRule type="containsText" dxfId="1166" priority="1397" operator="containsText" text="Off Target">
      <formula>NOT(ISERROR(SEARCH("Off Target",I89)))</formula>
    </cfRule>
    <cfRule type="containsText" dxfId="1165" priority="1398" operator="containsText" text="In Danger of Falling Behind Target">
      <formula>NOT(ISERROR(SEARCH("In Danger of Falling Behind Target",I89)))</formula>
    </cfRule>
    <cfRule type="containsText" dxfId="1164" priority="1399" operator="containsText" text="On Track to be Achieved">
      <formula>NOT(ISERROR(SEARCH("On Track to be Achieved",I89)))</formula>
    </cfRule>
    <cfRule type="containsText" dxfId="1163" priority="1400" operator="containsText" text="Fully Achieved">
      <formula>NOT(ISERROR(SEARCH("Fully Achieved",I89)))</formula>
    </cfRule>
    <cfRule type="containsText" dxfId="1162" priority="1401" operator="containsText" text="Fully Achieved">
      <formula>NOT(ISERROR(SEARCH("Fully Achieved",I89)))</formula>
    </cfRule>
    <cfRule type="containsText" dxfId="1161" priority="1402" operator="containsText" text="Fully Achieved">
      <formula>NOT(ISERROR(SEARCH("Fully Achieved",I89)))</formula>
    </cfRule>
    <cfRule type="containsText" dxfId="1160" priority="1403" operator="containsText" text="Deferred">
      <formula>NOT(ISERROR(SEARCH("Deferred",I89)))</formula>
    </cfRule>
    <cfRule type="containsText" dxfId="1159" priority="1404" operator="containsText" text="Deleted">
      <formula>NOT(ISERROR(SEARCH("Deleted",I89)))</formula>
    </cfRule>
    <cfRule type="containsText" dxfId="1158" priority="1405" operator="containsText" text="In Danger of Falling Behind Target">
      <formula>NOT(ISERROR(SEARCH("In Danger of Falling Behind Target",I89)))</formula>
    </cfRule>
    <cfRule type="containsText" dxfId="1157" priority="1406" operator="containsText" text="Not yet due">
      <formula>NOT(ISERROR(SEARCH("Not yet due",I89)))</formula>
    </cfRule>
    <cfRule type="containsText" dxfId="1156" priority="1407" operator="containsText" text="Update not Provided">
      <formula>NOT(ISERROR(SEARCH("Update not Provided",I89)))</formula>
    </cfRule>
  </conditionalFormatting>
  <conditionalFormatting sqref="I92:I96">
    <cfRule type="containsText" dxfId="1155" priority="1336" operator="containsText" text="On track to be achieved">
      <formula>NOT(ISERROR(SEARCH("On track to be achieved",I92)))</formula>
    </cfRule>
    <cfRule type="containsText" dxfId="1154" priority="1337" operator="containsText" text="Deferred">
      <formula>NOT(ISERROR(SEARCH("Deferred",I92)))</formula>
    </cfRule>
    <cfRule type="containsText" dxfId="1153" priority="1338" operator="containsText" text="Deleted">
      <formula>NOT(ISERROR(SEARCH("Deleted",I92)))</formula>
    </cfRule>
    <cfRule type="containsText" dxfId="1152" priority="1339" operator="containsText" text="In Danger of Falling Behind Target">
      <formula>NOT(ISERROR(SEARCH("In Danger of Falling Behind Target",I92)))</formula>
    </cfRule>
    <cfRule type="containsText" dxfId="1151" priority="1340" operator="containsText" text="Not yet due">
      <formula>NOT(ISERROR(SEARCH("Not yet due",I92)))</formula>
    </cfRule>
    <cfRule type="containsText" dxfId="1150" priority="1341" operator="containsText" text="Update not Provided">
      <formula>NOT(ISERROR(SEARCH("Update not Provided",I92)))</formula>
    </cfRule>
    <cfRule type="containsText" dxfId="1149" priority="1342" operator="containsText" text="Not yet due">
      <formula>NOT(ISERROR(SEARCH("Not yet due",I92)))</formula>
    </cfRule>
    <cfRule type="containsText" dxfId="1148" priority="1343" operator="containsText" text="Completed Behind Schedule">
      <formula>NOT(ISERROR(SEARCH("Completed Behind Schedule",I92)))</formula>
    </cfRule>
    <cfRule type="containsText" dxfId="1147" priority="1344" operator="containsText" text="Off Target">
      <formula>NOT(ISERROR(SEARCH("Off Target",I92)))</formula>
    </cfRule>
    <cfRule type="containsText" dxfId="1146" priority="1345" operator="containsText" text="On Track to be Achieved">
      <formula>NOT(ISERROR(SEARCH("On Track to be Achieved",I92)))</formula>
    </cfRule>
    <cfRule type="containsText" dxfId="1145" priority="1346" operator="containsText" text="Fully Achieved">
      <formula>NOT(ISERROR(SEARCH("Fully Achieved",I92)))</formula>
    </cfRule>
    <cfRule type="containsText" dxfId="1144" priority="1347" operator="containsText" text="Not yet due">
      <formula>NOT(ISERROR(SEARCH("Not yet due",I92)))</formula>
    </cfRule>
    <cfRule type="containsText" dxfId="1143" priority="1348" operator="containsText" text="Not Yet Due">
      <formula>NOT(ISERROR(SEARCH("Not Yet Due",I92)))</formula>
    </cfRule>
    <cfRule type="containsText" dxfId="1142" priority="1349" operator="containsText" text="Deferred">
      <formula>NOT(ISERROR(SEARCH("Deferred",I92)))</formula>
    </cfRule>
    <cfRule type="containsText" dxfId="1141" priority="1350" operator="containsText" text="Deleted">
      <formula>NOT(ISERROR(SEARCH("Deleted",I92)))</formula>
    </cfRule>
    <cfRule type="containsText" dxfId="1140" priority="1351" operator="containsText" text="In Danger of Falling Behind Target">
      <formula>NOT(ISERROR(SEARCH("In Danger of Falling Behind Target",I92)))</formula>
    </cfRule>
    <cfRule type="containsText" dxfId="1139" priority="1352" operator="containsText" text="Not yet due">
      <formula>NOT(ISERROR(SEARCH("Not yet due",I92)))</formula>
    </cfRule>
    <cfRule type="containsText" dxfId="1138" priority="1353" operator="containsText" text="Completed Behind Schedule">
      <formula>NOT(ISERROR(SEARCH("Completed Behind Schedule",I92)))</formula>
    </cfRule>
    <cfRule type="containsText" dxfId="1137" priority="1354" operator="containsText" text="Off Target">
      <formula>NOT(ISERROR(SEARCH("Off Target",I92)))</formula>
    </cfRule>
    <cfRule type="containsText" dxfId="1136" priority="1355" operator="containsText" text="In Danger of Falling Behind Target">
      <formula>NOT(ISERROR(SEARCH("In Danger of Falling Behind Target",I92)))</formula>
    </cfRule>
    <cfRule type="containsText" dxfId="1135" priority="1356" operator="containsText" text="On Track to be Achieved">
      <formula>NOT(ISERROR(SEARCH("On Track to be Achieved",I92)))</formula>
    </cfRule>
    <cfRule type="containsText" dxfId="1134" priority="1357" operator="containsText" text="Fully Achieved">
      <formula>NOT(ISERROR(SEARCH("Fully Achieved",I92)))</formula>
    </cfRule>
    <cfRule type="containsText" dxfId="1133" priority="1358" operator="containsText" text="Update not Provided">
      <formula>NOT(ISERROR(SEARCH("Update not Provided",I92)))</formula>
    </cfRule>
    <cfRule type="containsText" dxfId="1132" priority="1359" operator="containsText" text="Not yet due">
      <formula>NOT(ISERROR(SEARCH("Not yet due",I92)))</formula>
    </cfRule>
    <cfRule type="containsText" dxfId="1131" priority="1360" operator="containsText" text="Completed Behind Schedule">
      <formula>NOT(ISERROR(SEARCH("Completed Behind Schedule",I92)))</formula>
    </cfRule>
    <cfRule type="containsText" dxfId="1130" priority="1361" operator="containsText" text="Off Target">
      <formula>NOT(ISERROR(SEARCH("Off Target",I92)))</formula>
    </cfRule>
    <cfRule type="containsText" dxfId="1129" priority="1362" operator="containsText" text="In Danger of Falling Behind Target">
      <formula>NOT(ISERROR(SEARCH("In Danger of Falling Behind Target",I92)))</formula>
    </cfRule>
    <cfRule type="containsText" dxfId="1128" priority="1363" operator="containsText" text="On Track to be Achieved">
      <formula>NOT(ISERROR(SEARCH("On Track to be Achieved",I92)))</formula>
    </cfRule>
    <cfRule type="containsText" dxfId="1127" priority="1364" operator="containsText" text="Fully Achieved">
      <formula>NOT(ISERROR(SEARCH("Fully Achieved",I92)))</formula>
    </cfRule>
    <cfRule type="containsText" dxfId="1126" priority="1365" operator="containsText" text="Fully Achieved">
      <formula>NOT(ISERROR(SEARCH("Fully Achieved",I92)))</formula>
    </cfRule>
    <cfRule type="containsText" dxfId="1125" priority="1366" operator="containsText" text="Fully Achieved">
      <formula>NOT(ISERROR(SEARCH("Fully Achieved",I92)))</formula>
    </cfRule>
    <cfRule type="containsText" dxfId="1124" priority="1367" operator="containsText" text="Deferred">
      <formula>NOT(ISERROR(SEARCH("Deferred",I92)))</formula>
    </cfRule>
    <cfRule type="containsText" dxfId="1123" priority="1368" operator="containsText" text="Deleted">
      <formula>NOT(ISERROR(SEARCH("Deleted",I92)))</formula>
    </cfRule>
    <cfRule type="containsText" dxfId="1122" priority="1369" operator="containsText" text="In Danger of Falling Behind Target">
      <formula>NOT(ISERROR(SEARCH("In Danger of Falling Behind Target",I92)))</formula>
    </cfRule>
    <cfRule type="containsText" dxfId="1121" priority="1370" operator="containsText" text="Not yet due">
      <formula>NOT(ISERROR(SEARCH("Not yet due",I92)))</formula>
    </cfRule>
    <cfRule type="containsText" dxfId="1120" priority="1371" operator="containsText" text="Update not Provided">
      <formula>NOT(ISERROR(SEARCH("Update not Provided",I92)))</formula>
    </cfRule>
  </conditionalFormatting>
  <conditionalFormatting sqref="I97:I98">
    <cfRule type="containsText" dxfId="1119" priority="1300" operator="containsText" text="On track to be achieved">
      <formula>NOT(ISERROR(SEARCH("On track to be achieved",I97)))</formula>
    </cfRule>
    <cfRule type="containsText" dxfId="1118" priority="1301" operator="containsText" text="Deferred">
      <formula>NOT(ISERROR(SEARCH("Deferred",I97)))</formula>
    </cfRule>
    <cfRule type="containsText" dxfId="1117" priority="1302" operator="containsText" text="Deleted">
      <formula>NOT(ISERROR(SEARCH("Deleted",I97)))</formula>
    </cfRule>
    <cfRule type="containsText" dxfId="1116" priority="1303" operator="containsText" text="In Danger of Falling Behind Target">
      <formula>NOT(ISERROR(SEARCH("In Danger of Falling Behind Target",I97)))</formula>
    </cfRule>
    <cfRule type="containsText" dxfId="1115" priority="1304" operator="containsText" text="Not yet due">
      <formula>NOT(ISERROR(SEARCH("Not yet due",I97)))</formula>
    </cfRule>
    <cfRule type="containsText" dxfId="1114" priority="1305" operator="containsText" text="Update not Provided">
      <formula>NOT(ISERROR(SEARCH("Update not Provided",I97)))</formula>
    </cfRule>
    <cfRule type="containsText" dxfId="1113" priority="1306" operator="containsText" text="Not yet due">
      <formula>NOT(ISERROR(SEARCH("Not yet due",I97)))</formula>
    </cfRule>
    <cfRule type="containsText" dxfId="1112" priority="1307" operator="containsText" text="Completed Behind Schedule">
      <formula>NOT(ISERROR(SEARCH("Completed Behind Schedule",I97)))</formula>
    </cfRule>
    <cfRule type="containsText" dxfId="1111" priority="1308" operator="containsText" text="Off Target">
      <formula>NOT(ISERROR(SEARCH("Off Target",I97)))</formula>
    </cfRule>
    <cfRule type="containsText" dxfId="1110" priority="1309" operator="containsText" text="On Track to be Achieved">
      <formula>NOT(ISERROR(SEARCH("On Track to be Achieved",I97)))</formula>
    </cfRule>
    <cfRule type="containsText" dxfId="1109" priority="1310" operator="containsText" text="Fully Achieved">
      <formula>NOT(ISERROR(SEARCH("Fully Achieved",I97)))</formula>
    </cfRule>
    <cfRule type="containsText" dxfId="1108" priority="1311" operator="containsText" text="Not yet due">
      <formula>NOT(ISERROR(SEARCH("Not yet due",I97)))</formula>
    </cfRule>
    <cfRule type="containsText" dxfId="1107" priority="1312" operator="containsText" text="Not Yet Due">
      <formula>NOT(ISERROR(SEARCH("Not Yet Due",I97)))</formula>
    </cfRule>
    <cfRule type="containsText" dxfId="1106" priority="1313" operator="containsText" text="Deferred">
      <formula>NOT(ISERROR(SEARCH("Deferred",I97)))</formula>
    </cfRule>
    <cfRule type="containsText" dxfId="1105" priority="1314" operator="containsText" text="Deleted">
      <formula>NOT(ISERROR(SEARCH("Deleted",I97)))</formula>
    </cfRule>
    <cfRule type="containsText" dxfId="1104" priority="1315" operator="containsText" text="In Danger of Falling Behind Target">
      <formula>NOT(ISERROR(SEARCH("In Danger of Falling Behind Target",I97)))</formula>
    </cfRule>
    <cfRule type="containsText" dxfId="1103" priority="1316" operator="containsText" text="Not yet due">
      <formula>NOT(ISERROR(SEARCH("Not yet due",I97)))</formula>
    </cfRule>
    <cfRule type="containsText" dxfId="1102" priority="1317" operator="containsText" text="Completed Behind Schedule">
      <formula>NOT(ISERROR(SEARCH("Completed Behind Schedule",I97)))</formula>
    </cfRule>
    <cfRule type="containsText" dxfId="1101" priority="1318" operator="containsText" text="Off Target">
      <formula>NOT(ISERROR(SEARCH("Off Target",I97)))</formula>
    </cfRule>
    <cfRule type="containsText" dxfId="1100" priority="1319" operator="containsText" text="In Danger of Falling Behind Target">
      <formula>NOT(ISERROR(SEARCH("In Danger of Falling Behind Target",I97)))</formula>
    </cfRule>
    <cfRule type="containsText" dxfId="1099" priority="1320" operator="containsText" text="On Track to be Achieved">
      <formula>NOT(ISERROR(SEARCH("On Track to be Achieved",I97)))</formula>
    </cfRule>
    <cfRule type="containsText" dxfId="1098" priority="1321" operator="containsText" text="Fully Achieved">
      <formula>NOT(ISERROR(SEARCH("Fully Achieved",I97)))</formula>
    </cfRule>
    <cfRule type="containsText" dxfId="1097" priority="1322" operator="containsText" text="Update not Provided">
      <formula>NOT(ISERROR(SEARCH("Update not Provided",I97)))</formula>
    </cfRule>
    <cfRule type="containsText" dxfId="1096" priority="1323" operator="containsText" text="Not yet due">
      <formula>NOT(ISERROR(SEARCH("Not yet due",I97)))</formula>
    </cfRule>
    <cfRule type="containsText" dxfId="1095" priority="1324" operator="containsText" text="Completed Behind Schedule">
      <formula>NOT(ISERROR(SEARCH("Completed Behind Schedule",I97)))</formula>
    </cfRule>
    <cfRule type="containsText" dxfId="1094" priority="1325" operator="containsText" text="Off Target">
      <formula>NOT(ISERROR(SEARCH("Off Target",I97)))</formula>
    </cfRule>
    <cfRule type="containsText" dxfId="1093" priority="1326" operator="containsText" text="In Danger of Falling Behind Target">
      <formula>NOT(ISERROR(SEARCH("In Danger of Falling Behind Target",I97)))</formula>
    </cfRule>
    <cfRule type="containsText" dxfId="1092" priority="1327" operator="containsText" text="On Track to be Achieved">
      <formula>NOT(ISERROR(SEARCH("On Track to be Achieved",I97)))</formula>
    </cfRule>
    <cfRule type="containsText" dxfId="1091" priority="1328" operator="containsText" text="Fully Achieved">
      <formula>NOT(ISERROR(SEARCH("Fully Achieved",I97)))</formula>
    </cfRule>
    <cfRule type="containsText" dxfId="1090" priority="1329" operator="containsText" text="Fully Achieved">
      <formula>NOT(ISERROR(SEARCH("Fully Achieved",I97)))</formula>
    </cfRule>
    <cfRule type="containsText" dxfId="1089" priority="1330" operator="containsText" text="Fully Achieved">
      <formula>NOT(ISERROR(SEARCH("Fully Achieved",I97)))</formula>
    </cfRule>
    <cfRule type="containsText" dxfId="1088" priority="1331" operator="containsText" text="Deferred">
      <formula>NOT(ISERROR(SEARCH("Deferred",I97)))</formula>
    </cfRule>
    <cfRule type="containsText" dxfId="1087" priority="1332" operator="containsText" text="Deleted">
      <formula>NOT(ISERROR(SEARCH("Deleted",I97)))</formula>
    </cfRule>
    <cfRule type="containsText" dxfId="1086" priority="1333" operator="containsText" text="In Danger of Falling Behind Target">
      <formula>NOT(ISERROR(SEARCH("In Danger of Falling Behind Target",I97)))</formula>
    </cfRule>
    <cfRule type="containsText" dxfId="1085" priority="1334" operator="containsText" text="Not yet due">
      <formula>NOT(ISERROR(SEARCH("Not yet due",I97)))</formula>
    </cfRule>
    <cfRule type="containsText" dxfId="1084" priority="1335" operator="containsText" text="Update not Provided">
      <formula>NOT(ISERROR(SEARCH("Update not Provided",I97)))</formula>
    </cfRule>
  </conditionalFormatting>
  <conditionalFormatting sqref="I99:I109">
    <cfRule type="containsText" dxfId="1083" priority="1264" operator="containsText" text="On track to be achieved">
      <formula>NOT(ISERROR(SEARCH("On track to be achieved",I99)))</formula>
    </cfRule>
    <cfRule type="containsText" dxfId="1082" priority="1265" operator="containsText" text="Deferred">
      <formula>NOT(ISERROR(SEARCH("Deferred",I99)))</formula>
    </cfRule>
    <cfRule type="containsText" dxfId="1081" priority="1266" operator="containsText" text="Deleted">
      <formula>NOT(ISERROR(SEARCH("Deleted",I99)))</formula>
    </cfRule>
    <cfRule type="containsText" dxfId="1080" priority="1267" operator="containsText" text="In Danger of Falling Behind Target">
      <formula>NOT(ISERROR(SEARCH("In Danger of Falling Behind Target",I99)))</formula>
    </cfRule>
    <cfRule type="containsText" dxfId="1079" priority="1268" operator="containsText" text="Not yet due">
      <formula>NOT(ISERROR(SEARCH("Not yet due",I99)))</formula>
    </cfRule>
    <cfRule type="containsText" dxfId="1078" priority="1269" operator="containsText" text="Update not Provided">
      <formula>NOT(ISERROR(SEARCH("Update not Provided",I99)))</formula>
    </cfRule>
    <cfRule type="containsText" dxfId="1077" priority="1270" operator="containsText" text="Not yet due">
      <formula>NOT(ISERROR(SEARCH("Not yet due",I99)))</formula>
    </cfRule>
    <cfRule type="containsText" dxfId="1076" priority="1271" operator="containsText" text="Completed Behind Schedule">
      <formula>NOT(ISERROR(SEARCH("Completed Behind Schedule",I99)))</formula>
    </cfRule>
    <cfRule type="containsText" dxfId="1075" priority="1272" operator="containsText" text="Off Target">
      <formula>NOT(ISERROR(SEARCH("Off Target",I99)))</formula>
    </cfRule>
    <cfRule type="containsText" dxfId="1074" priority="1273" operator="containsText" text="On Track to be Achieved">
      <formula>NOT(ISERROR(SEARCH("On Track to be Achieved",I99)))</formula>
    </cfRule>
    <cfRule type="containsText" dxfId="1073" priority="1274" operator="containsText" text="Fully Achieved">
      <formula>NOT(ISERROR(SEARCH("Fully Achieved",I99)))</formula>
    </cfRule>
    <cfRule type="containsText" dxfId="1072" priority="1275" operator="containsText" text="Not yet due">
      <formula>NOT(ISERROR(SEARCH("Not yet due",I99)))</formula>
    </cfRule>
    <cfRule type="containsText" dxfId="1071" priority="1276" operator="containsText" text="Not Yet Due">
      <formula>NOT(ISERROR(SEARCH("Not Yet Due",I99)))</formula>
    </cfRule>
    <cfRule type="containsText" dxfId="1070" priority="1277" operator="containsText" text="Deferred">
      <formula>NOT(ISERROR(SEARCH("Deferred",I99)))</formula>
    </cfRule>
    <cfRule type="containsText" dxfId="1069" priority="1278" operator="containsText" text="Deleted">
      <formula>NOT(ISERROR(SEARCH("Deleted",I99)))</formula>
    </cfRule>
    <cfRule type="containsText" dxfId="1068" priority="1279" operator="containsText" text="In Danger of Falling Behind Target">
      <formula>NOT(ISERROR(SEARCH("In Danger of Falling Behind Target",I99)))</formula>
    </cfRule>
    <cfRule type="containsText" dxfId="1067" priority="1280" operator="containsText" text="Not yet due">
      <formula>NOT(ISERROR(SEARCH("Not yet due",I99)))</formula>
    </cfRule>
    <cfRule type="containsText" dxfId="1066" priority="1281" operator="containsText" text="Completed Behind Schedule">
      <formula>NOT(ISERROR(SEARCH("Completed Behind Schedule",I99)))</formula>
    </cfRule>
    <cfRule type="containsText" dxfId="1065" priority="1282" operator="containsText" text="Off Target">
      <formula>NOT(ISERROR(SEARCH("Off Target",I99)))</formula>
    </cfRule>
    <cfRule type="containsText" dxfId="1064" priority="1283" operator="containsText" text="In Danger of Falling Behind Target">
      <formula>NOT(ISERROR(SEARCH("In Danger of Falling Behind Target",I99)))</formula>
    </cfRule>
    <cfRule type="containsText" dxfId="1063" priority="1284" operator="containsText" text="On Track to be Achieved">
      <formula>NOT(ISERROR(SEARCH("On Track to be Achieved",I99)))</formula>
    </cfRule>
    <cfRule type="containsText" dxfId="1062" priority="1285" operator="containsText" text="Fully Achieved">
      <formula>NOT(ISERROR(SEARCH("Fully Achieved",I99)))</formula>
    </cfRule>
    <cfRule type="containsText" dxfId="1061" priority="1286" operator="containsText" text="Update not Provided">
      <formula>NOT(ISERROR(SEARCH("Update not Provided",I99)))</formula>
    </cfRule>
    <cfRule type="containsText" dxfId="1060" priority="1287" operator="containsText" text="Not yet due">
      <formula>NOT(ISERROR(SEARCH("Not yet due",I99)))</formula>
    </cfRule>
    <cfRule type="containsText" dxfId="1059" priority="1288" operator="containsText" text="Completed Behind Schedule">
      <formula>NOT(ISERROR(SEARCH("Completed Behind Schedule",I99)))</formula>
    </cfRule>
    <cfRule type="containsText" dxfId="1058" priority="1289" operator="containsText" text="Off Target">
      <formula>NOT(ISERROR(SEARCH("Off Target",I99)))</formula>
    </cfRule>
    <cfRule type="containsText" dxfId="1057" priority="1290" operator="containsText" text="In Danger of Falling Behind Target">
      <formula>NOT(ISERROR(SEARCH("In Danger of Falling Behind Target",I99)))</formula>
    </cfRule>
    <cfRule type="containsText" dxfId="1056" priority="1291" operator="containsText" text="On Track to be Achieved">
      <formula>NOT(ISERROR(SEARCH("On Track to be Achieved",I99)))</formula>
    </cfRule>
    <cfRule type="containsText" dxfId="1055" priority="1292" operator="containsText" text="Fully Achieved">
      <formula>NOT(ISERROR(SEARCH("Fully Achieved",I99)))</formula>
    </cfRule>
    <cfRule type="containsText" dxfId="1054" priority="1293" operator="containsText" text="Fully Achieved">
      <formula>NOT(ISERROR(SEARCH("Fully Achieved",I99)))</formula>
    </cfRule>
    <cfRule type="containsText" dxfId="1053" priority="1294" operator="containsText" text="Fully Achieved">
      <formula>NOT(ISERROR(SEARCH("Fully Achieved",I99)))</formula>
    </cfRule>
    <cfRule type="containsText" dxfId="1052" priority="1295" operator="containsText" text="Deferred">
      <formula>NOT(ISERROR(SEARCH("Deferred",I99)))</formula>
    </cfRule>
    <cfRule type="containsText" dxfId="1051" priority="1296" operator="containsText" text="Deleted">
      <formula>NOT(ISERROR(SEARCH("Deleted",I99)))</formula>
    </cfRule>
    <cfRule type="containsText" dxfId="1050" priority="1297" operator="containsText" text="In Danger of Falling Behind Target">
      <formula>NOT(ISERROR(SEARCH("In Danger of Falling Behind Target",I99)))</formula>
    </cfRule>
    <cfRule type="containsText" dxfId="1049" priority="1298" operator="containsText" text="Not yet due">
      <formula>NOT(ISERROR(SEARCH("Not yet due",I99)))</formula>
    </cfRule>
    <cfRule type="containsText" dxfId="1048" priority="1299" operator="containsText" text="Update not Provided">
      <formula>NOT(ISERROR(SEARCH("Update not Provided",I99)))</formula>
    </cfRule>
  </conditionalFormatting>
  <conditionalFormatting sqref="J3:J110">
    <cfRule type="containsText" dxfId="1047" priority="1189" operator="containsText" text="reasonable tolerance">
      <formula>NOT(ISERROR(SEARCH("reasonable tolerance",J3)))</formula>
    </cfRule>
    <cfRule type="containsText" dxfId="1046" priority="1190" operator="containsText" text="significantly after">
      <formula>NOT(ISERROR(SEARCH("significantly after",J3)))</formula>
    </cfRule>
    <cfRule type="containsText" dxfId="1045" priority="1191" operator="containsText" text="10% tolerance">
      <formula>NOT(ISERROR(SEARCH("10% tolerance",J3)))</formula>
    </cfRule>
  </conditionalFormatting>
  <conditionalFormatting sqref="E4:E6">
    <cfRule type="containsText" dxfId="1044" priority="1153" operator="containsText" text="On track to be achieved">
      <formula>NOT(ISERROR(SEARCH("On track to be achieved",E4)))</formula>
    </cfRule>
    <cfRule type="containsText" dxfId="1043" priority="1154" operator="containsText" text="Deferred">
      <formula>NOT(ISERROR(SEARCH("Deferred",E4)))</formula>
    </cfRule>
    <cfRule type="containsText" dxfId="1042" priority="1155" operator="containsText" text="Deleted">
      <formula>NOT(ISERROR(SEARCH("Deleted",E4)))</formula>
    </cfRule>
    <cfRule type="containsText" dxfId="1041" priority="1156" operator="containsText" text="In Danger of Falling Behind Target">
      <formula>NOT(ISERROR(SEARCH("In Danger of Falling Behind Target",E4)))</formula>
    </cfRule>
    <cfRule type="containsText" dxfId="1040" priority="1157" operator="containsText" text="Not yet due">
      <formula>NOT(ISERROR(SEARCH("Not yet due",E4)))</formula>
    </cfRule>
    <cfRule type="containsText" dxfId="1039" priority="1158" operator="containsText" text="Update not Provided">
      <formula>NOT(ISERROR(SEARCH("Update not Provided",E4)))</formula>
    </cfRule>
    <cfRule type="containsText" dxfId="1038" priority="1159" operator="containsText" text="Not yet due">
      <formula>NOT(ISERROR(SEARCH("Not yet due",E4)))</formula>
    </cfRule>
    <cfRule type="containsText" dxfId="1037" priority="1160" operator="containsText" text="Completed Behind Schedule">
      <formula>NOT(ISERROR(SEARCH("Completed Behind Schedule",E4)))</formula>
    </cfRule>
    <cfRule type="containsText" dxfId="1036" priority="1161" operator="containsText" text="Off Target">
      <formula>NOT(ISERROR(SEARCH("Off Target",E4)))</formula>
    </cfRule>
    <cfRule type="containsText" dxfId="1035" priority="1162" operator="containsText" text="On Track to be Achieved">
      <formula>NOT(ISERROR(SEARCH("On Track to be Achieved",E4)))</formula>
    </cfRule>
    <cfRule type="containsText" dxfId="1034" priority="1163" operator="containsText" text="Fully Achieved">
      <formula>NOT(ISERROR(SEARCH("Fully Achieved",E4)))</formula>
    </cfRule>
    <cfRule type="containsText" dxfId="1033" priority="1164" operator="containsText" text="Not yet due">
      <formula>NOT(ISERROR(SEARCH("Not yet due",E4)))</formula>
    </cfRule>
    <cfRule type="containsText" dxfId="1032" priority="1165" operator="containsText" text="Not Yet Due">
      <formula>NOT(ISERROR(SEARCH("Not Yet Due",E4)))</formula>
    </cfRule>
    <cfRule type="containsText" dxfId="1031" priority="1166" operator="containsText" text="Deferred">
      <formula>NOT(ISERROR(SEARCH("Deferred",E4)))</formula>
    </cfRule>
    <cfRule type="containsText" dxfId="1030" priority="1167" operator="containsText" text="Deleted">
      <formula>NOT(ISERROR(SEARCH("Deleted",E4)))</formula>
    </cfRule>
    <cfRule type="containsText" dxfId="1029" priority="1168" operator="containsText" text="In Danger of Falling Behind Target">
      <formula>NOT(ISERROR(SEARCH("In Danger of Falling Behind Target",E4)))</formula>
    </cfRule>
    <cfRule type="containsText" dxfId="1028" priority="1169" operator="containsText" text="Not yet due">
      <formula>NOT(ISERROR(SEARCH("Not yet due",E4)))</formula>
    </cfRule>
    <cfRule type="containsText" dxfId="1027" priority="1170" operator="containsText" text="Completed Behind Schedule">
      <formula>NOT(ISERROR(SEARCH("Completed Behind Schedule",E4)))</formula>
    </cfRule>
    <cfRule type="containsText" dxfId="1026" priority="1171" operator="containsText" text="Off Target">
      <formula>NOT(ISERROR(SEARCH("Off Target",E4)))</formula>
    </cfRule>
    <cfRule type="containsText" dxfId="1025" priority="1172" operator="containsText" text="In Danger of Falling Behind Target">
      <formula>NOT(ISERROR(SEARCH("In Danger of Falling Behind Target",E4)))</formula>
    </cfRule>
    <cfRule type="containsText" dxfId="1024" priority="1173" operator="containsText" text="On Track to be Achieved">
      <formula>NOT(ISERROR(SEARCH("On Track to be Achieved",E4)))</formula>
    </cfRule>
    <cfRule type="containsText" dxfId="1023" priority="1174" operator="containsText" text="Fully Achieved">
      <formula>NOT(ISERROR(SEARCH("Fully Achieved",E4)))</formula>
    </cfRule>
    <cfRule type="containsText" dxfId="1022" priority="1175" operator="containsText" text="Update not Provided">
      <formula>NOT(ISERROR(SEARCH("Update not Provided",E4)))</formula>
    </cfRule>
    <cfRule type="containsText" dxfId="1021" priority="1176" operator="containsText" text="Not yet due">
      <formula>NOT(ISERROR(SEARCH("Not yet due",E4)))</formula>
    </cfRule>
    <cfRule type="containsText" dxfId="1020" priority="1177" operator="containsText" text="Completed Behind Schedule">
      <formula>NOT(ISERROR(SEARCH("Completed Behind Schedule",E4)))</formula>
    </cfRule>
    <cfRule type="containsText" dxfId="1019" priority="1178" operator="containsText" text="Off Target">
      <formula>NOT(ISERROR(SEARCH("Off Target",E4)))</formula>
    </cfRule>
    <cfRule type="containsText" dxfId="1018" priority="1179" operator="containsText" text="In Danger of Falling Behind Target">
      <formula>NOT(ISERROR(SEARCH("In Danger of Falling Behind Target",E4)))</formula>
    </cfRule>
    <cfRule type="containsText" dxfId="1017" priority="1180" operator="containsText" text="On Track to be Achieved">
      <formula>NOT(ISERROR(SEARCH("On Track to be Achieved",E4)))</formula>
    </cfRule>
    <cfRule type="containsText" dxfId="1016" priority="1181" operator="containsText" text="Fully Achieved">
      <formula>NOT(ISERROR(SEARCH("Fully Achieved",E4)))</formula>
    </cfRule>
    <cfRule type="containsText" dxfId="1015" priority="1182" operator="containsText" text="Fully Achieved">
      <formula>NOT(ISERROR(SEARCH("Fully Achieved",E4)))</formula>
    </cfRule>
    <cfRule type="containsText" dxfId="1014" priority="1183" operator="containsText" text="Fully Achieved">
      <formula>NOT(ISERROR(SEARCH("Fully Achieved",E4)))</formula>
    </cfRule>
    <cfRule type="containsText" dxfId="1013" priority="1184" operator="containsText" text="Deferred">
      <formula>NOT(ISERROR(SEARCH("Deferred",E4)))</formula>
    </cfRule>
    <cfRule type="containsText" dxfId="1012" priority="1185" operator="containsText" text="Deleted">
      <formula>NOT(ISERROR(SEARCH("Deleted",E4)))</formula>
    </cfRule>
    <cfRule type="containsText" dxfId="1011" priority="1186" operator="containsText" text="In Danger of Falling Behind Target">
      <formula>NOT(ISERROR(SEARCH("In Danger of Falling Behind Target",E4)))</formula>
    </cfRule>
    <cfRule type="containsText" dxfId="1010" priority="1187" operator="containsText" text="Not yet due">
      <formula>NOT(ISERROR(SEARCH("Not yet due",E4)))</formula>
    </cfRule>
    <cfRule type="containsText" dxfId="1009" priority="1188" operator="containsText" text="Update not Provided">
      <formula>NOT(ISERROR(SEARCH("Update not Provided",E4)))</formula>
    </cfRule>
  </conditionalFormatting>
  <conditionalFormatting sqref="E8">
    <cfRule type="containsText" dxfId="1008" priority="1117" operator="containsText" text="On track to be achieved">
      <formula>NOT(ISERROR(SEARCH("On track to be achieved",E8)))</formula>
    </cfRule>
    <cfRule type="containsText" dxfId="1007" priority="1118" operator="containsText" text="Deferred">
      <formula>NOT(ISERROR(SEARCH("Deferred",E8)))</formula>
    </cfRule>
    <cfRule type="containsText" dxfId="1006" priority="1119" operator="containsText" text="Deleted">
      <formula>NOT(ISERROR(SEARCH("Deleted",E8)))</formula>
    </cfRule>
    <cfRule type="containsText" dxfId="1005" priority="1120" operator="containsText" text="In Danger of Falling Behind Target">
      <formula>NOT(ISERROR(SEARCH("In Danger of Falling Behind Target",E8)))</formula>
    </cfRule>
    <cfRule type="containsText" dxfId="1004" priority="1121" operator="containsText" text="Not yet due">
      <formula>NOT(ISERROR(SEARCH("Not yet due",E8)))</formula>
    </cfRule>
    <cfRule type="containsText" dxfId="1003" priority="1122" operator="containsText" text="Update not Provided">
      <formula>NOT(ISERROR(SEARCH("Update not Provided",E8)))</formula>
    </cfRule>
    <cfRule type="containsText" dxfId="1002" priority="1123" operator="containsText" text="Not yet due">
      <formula>NOT(ISERROR(SEARCH("Not yet due",E8)))</formula>
    </cfRule>
    <cfRule type="containsText" dxfId="1001" priority="1124" operator="containsText" text="Completed Behind Schedule">
      <formula>NOT(ISERROR(SEARCH("Completed Behind Schedule",E8)))</formula>
    </cfRule>
    <cfRule type="containsText" dxfId="1000" priority="1125" operator="containsText" text="Off Target">
      <formula>NOT(ISERROR(SEARCH("Off Target",E8)))</formula>
    </cfRule>
    <cfRule type="containsText" dxfId="999" priority="1126" operator="containsText" text="On Track to be Achieved">
      <formula>NOT(ISERROR(SEARCH("On Track to be Achieved",E8)))</formula>
    </cfRule>
    <cfRule type="containsText" dxfId="998" priority="1127" operator="containsText" text="Fully Achieved">
      <formula>NOT(ISERROR(SEARCH("Fully Achieved",E8)))</formula>
    </cfRule>
    <cfRule type="containsText" dxfId="997" priority="1128" operator="containsText" text="Not yet due">
      <formula>NOT(ISERROR(SEARCH("Not yet due",E8)))</formula>
    </cfRule>
    <cfRule type="containsText" dxfId="996" priority="1129" operator="containsText" text="Not Yet Due">
      <formula>NOT(ISERROR(SEARCH("Not Yet Due",E8)))</formula>
    </cfRule>
    <cfRule type="containsText" dxfId="995" priority="1130" operator="containsText" text="Deferred">
      <formula>NOT(ISERROR(SEARCH("Deferred",E8)))</formula>
    </cfRule>
    <cfRule type="containsText" dxfId="994" priority="1131" operator="containsText" text="Deleted">
      <formula>NOT(ISERROR(SEARCH("Deleted",E8)))</formula>
    </cfRule>
    <cfRule type="containsText" dxfId="993" priority="1132" operator="containsText" text="In Danger of Falling Behind Target">
      <formula>NOT(ISERROR(SEARCH("In Danger of Falling Behind Target",E8)))</formula>
    </cfRule>
    <cfRule type="containsText" dxfId="992" priority="1133" operator="containsText" text="Not yet due">
      <formula>NOT(ISERROR(SEARCH("Not yet due",E8)))</formula>
    </cfRule>
    <cfRule type="containsText" dxfId="991" priority="1134" operator="containsText" text="Completed Behind Schedule">
      <formula>NOT(ISERROR(SEARCH("Completed Behind Schedule",E8)))</formula>
    </cfRule>
    <cfRule type="containsText" dxfId="990" priority="1135" operator="containsText" text="Off Target">
      <formula>NOT(ISERROR(SEARCH("Off Target",E8)))</formula>
    </cfRule>
    <cfRule type="containsText" dxfId="989" priority="1136" operator="containsText" text="In Danger of Falling Behind Target">
      <formula>NOT(ISERROR(SEARCH("In Danger of Falling Behind Target",E8)))</formula>
    </cfRule>
    <cfRule type="containsText" dxfId="988" priority="1137" operator="containsText" text="On Track to be Achieved">
      <formula>NOT(ISERROR(SEARCH("On Track to be Achieved",E8)))</formula>
    </cfRule>
    <cfRule type="containsText" dxfId="987" priority="1138" operator="containsText" text="Fully Achieved">
      <formula>NOT(ISERROR(SEARCH("Fully Achieved",E8)))</formula>
    </cfRule>
    <cfRule type="containsText" dxfId="986" priority="1139" operator="containsText" text="Update not Provided">
      <formula>NOT(ISERROR(SEARCH("Update not Provided",E8)))</formula>
    </cfRule>
    <cfRule type="containsText" dxfId="985" priority="1140" operator="containsText" text="Not yet due">
      <formula>NOT(ISERROR(SEARCH("Not yet due",E8)))</formula>
    </cfRule>
    <cfRule type="containsText" dxfId="984" priority="1141" operator="containsText" text="Completed Behind Schedule">
      <formula>NOT(ISERROR(SEARCH("Completed Behind Schedule",E8)))</formula>
    </cfRule>
    <cfRule type="containsText" dxfId="983" priority="1142" operator="containsText" text="Off Target">
      <formula>NOT(ISERROR(SEARCH("Off Target",E8)))</formula>
    </cfRule>
    <cfRule type="containsText" dxfId="982" priority="1143" operator="containsText" text="In Danger of Falling Behind Target">
      <formula>NOT(ISERROR(SEARCH("In Danger of Falling Behind Target",E8)))</formula>
    </cfRule>
    <cfRule type="containsText" dxfId="981" priority="1144" operator="containsText" text="On Track to be Achieved">
      <formula>NOT(ISERROR(SEARCH("On Track to be Achieved",E8)))</formula>
    </cfRule>
    <cfRule type="containsText" dxfId="980" priority="1145" operator="containsText" text="Fully Achieved">
      <formula>NOT(ISERROR(SEARCH("Fully Achieved",E8)))</formula>
    </cfRule>
    <cfRule type="containsText" dxfId="979" priority="1146" operator="containsText" text="Fully Achieved">
      <formula>NOT(ISERROR(SEARCH("Fully Achieved",E8)))</formula>
    </cfRule>
    <cfRule type="containsText" dxfId="978" priority="1147" operator="containsText" text="Fully Achieved">
      <formula>NOT(ISERROR(SEARCH("Fully Achieved",E8)))</formula>
    </cfRule>
    <cfRule type="containsText" dxfId="977" priority="1148" operator="containsText" text="Deferred">
      <formula>NOT(ISERROR(SEARCH("Deferred",E8)))</formula>
    </cfRule>
    <cfRule type="containsText" dxfId="976" priority="1149" operator="containsText" text="Deleted">
      <formula>NOT(ISERROR(SEARCH("Deleted",E8)))</formula>
    </cfRule>
    <cfRule type="containsText" dxfId="975" priority="1150" operator="containsText" text="In Danger of Falling Behind Target">
      <formula>NOT(ISERROR(SEARCH("In Danger of Falling Behind Target",E8)))</formula>
    </cfRule>
    <cfRule type="containsText" dxfId="974" priority="1151" operator="containsText" text="Not yet due">
      <formula>NOT(ISERROR(SEARCH("Not yet due",E8)))</formula>
    </cfRule>
    <cfRule type="containsText" dxfId="973" priority="1152" operator="containsText" text="Update not Provided">
      <formula>NOT(ISERROR(SEARCH("Update not Provided",E8)))</formula>
    </cfRule>
  </conditionalFormatting>
  <conditionalFormatting sqref="E12:E18">
    <cfRule type="containsText" dxfId="972" priority="1081" operator="containsText" text="On track to be achieved">
      <formula>NOT(ISERROR(SEARCH("On track to be achieved",E12)))</formula>
    </cfRule>
    <cfRule type="containsText" dxfId="971" priority="1082" operator="containsText" text="Deferred">
      <formula>NOT(ISERROR(SEARCH("Deferred",E12)))</formula>
    </cfRule>
    <cfRule type="containsText" dxfId="970" priority="1083" operator="containsText" text="Deleted">
      <formula>NOT(ISERROR(SEARCH("Deleted",E12)))</formula>
    </cfRule>
    <cfRule type="containsText" dxfId="969" priority="1084" operator="containsText" text="In Danger of Falling Behind Target">
      <formula>NOT(ISERROR(SEARCH("In Danger of Falling Behind Target",E12)))</formula>
    </cfRule>
    <cfRule type="containsText" dxfId="968" priority="1085" operator="containsText" text="Not yet due">
      <formula>NOT(ISERROR(SEARCH("Not yet due",E12)))</formula>
    </cfRule>
    <cfRule type="containsText" dxfId="967" priority="1086" operator="containsText" text="Update not Provided">
      <formula>NOT(ISERROR(SEARCH("Update not Provided",E12)))</formula>
    </cfRule>
    <cfRule type="containsText" dxfId="966" priority="1087" operator="containsText" text="Not yet due">
      <formula>NOT(ISERROR(SEARCH("Not yet due",E12)))</formula>
    </cfRule>
    <cfRule type="containsText" dxfId="965" priority="1088" operator="containsText" text="Completed Behind Schedule">
      <formula>NOT(ISERROR(SEARCH("Completed Behind Schedule",E12)))</formula>
    </cfRule>
    <cfRule type="containsText" dxfId="964" priority="1089" operator="containsText" text="Off Target">
      <formula>NOT(ISERROR(SEARCH("Off Target",E12)))</formula>
    </cfRule>
    <cfRule type="containsText" dxfId="963" priority="1090" operator="containsText" text="On Track to be Achieved">
      <formula>NOT(ISERROR(SEARCH("On Track to be Achieved",E12)))</formula>
    </cfRule>
    <cfRule type="containsText" dxfId="962" priority="1091" operator="containsText" text="Fully Achieved">
      <formula>NOT(ISERROR(SEARCH("Fully Achieved",E12)))</formula>
    </cfRule>
    <cfRule type="containsText" dxfId="961" priority="1092" operator="containsText" text="Not yet due">
      <formula>NOT(ISERROR(SEARCH("Not yet due",E12)))</formula>
    </cfRule>
    <cfRule type="containsText" dxfId="960" priority="1093" operator="containsText" text="Not Yet Due">
      <formula>NOT(ISERROR(SEARCH("Not Yet Due",E12)))</formula>
    </cfRule>
    <cfRule type="containsText" dxfId="959" priority="1094" operator="containsText" text="Deferred">
      <formula>NOT(ISERROR(SEARCH("Deferred",E12)))</formula>
    </cfRule>
    <cfRule type="containsText" dxfId="958" priority="1095" operator="containsText" text="Deleted">
      <formula>NOT(ISERROR(SEARCH("Deleted",E12)))</formula>
    </cfRule>
    <cfRule type="containsText" dxfId="957" priority="1096" operator="containsText" text="In Danger of Falling Behind Target">
      <formula>NOT(ISERROR(SEARCH("In Danger of Falling Behind Target",E12)))</formula>
    </cfRule>
    <cfRule type="containsText" dxfId="956" priority="1097" operator="containsText" text="Not yet due">
      <formula>NOT(ISERROR(SEARCH("Not yet due",E12)))</formula>
    </cfRule>
    <cfRule type="containsText" dxfId="955" priority="1098" operator="containsText" text="Completed Behind Schedule">
      <formula>NOT(ISERROR(SEARCH("Completed Behind Schedule",E12)))</formula>
    </cfRule>
    <cfRule type="containsText" dxfId="954" priority="1099" operator="containsText" text="Off Target">
      <formula>NOT(ISERROR(SEARCH("Off Target",E12)))</formula>
    </cfRule>
    <cfRule type="containsText" dxfId="953" priority="1100" operator="containsText" text="In Danger of Falling Behind Target">
      <formula>NOT(ISERROR(SEARCH("In Danger of Falling Behind Target",E12)))</formula>
    </cfRule>
    <cfRule type="containsText" dxfId="952" priority="1101" operator="containsText" text="On Track to be Achieved">
      <formula>NOT(ISERROR(SEARCH("On Track to be Achieved",E12)))</formula>
    </cfRule>
    <cfRule type="containsText" dxfId="951" priority="1102" operator="containsText" text="Fully Achieved">
      <formula>NOT(ISERROR(SEARCH("Fully Achieved",E12)))</formula>
    </cfRule>
    <cfRule type="containsText" dxfId="950" priority="1103" operator="containsText" text="Update not Provided">
      <formula>NOT(ISERROR(SEARCH("Update not Provided",E12)))</formula>
    </cfRule>
    <cfRule type="containsText" dxfId="949" priority="1104" operator="containsText" text="Not yet due">
      <formula>NOT(ISERROR(SEARCH("Not yet due",E12)))</formula>
    </cfRule>
    <cfRule type="containsText" dxfId="948" priority="1105" operator="containsText" text="Completed Behind Schedule">
      <formula>NOT(ISERROR(SEARCH("Completed Behind Schedule",E12)))</formula>
    </cfRule>
    <cfRule type="containsText" dxfId="947" priority="1106" operator="containsText" text="Off Target">
      <formula>NOT(ISERROR(SEARCH("Off Target",E12)))</formula>
    </cfRule>
    <cfRule type="containsText" dxfId="946" priority="1107" operator="containsText" text="In Danger of Falling Behind Target">
      <formula>NOT(ISERROR(SEARCH("In Danger of Falling Behind Target",E12)))</formula>
    </cfRule>
    <cfRule type="containsText" dxfId="945" priority="1108" operator="containsText" text="On Track to be Achieved">
      <formula>NOT(ISERROR(SEARCH("On Track to be Achieved",E12)))</formula>
    </cfRule>
    <cfRule type="containsText" dxfId="944" priority="1109" operator="containsText" text="Fully Achieved">
      <formula>NOT(ISERROR(SEARCH("Fully Achieved",E12)))</formula>
    </cfRule>
    <cfRule type="containsText" dxfId="943" priority="1110" operator="containsText" text="Fully Achieved">
      <formula>NOT(ISERROR(SEARCH("Fully Achieved",E12)))</formula>
    </cfRule>
    <cfRule type="containsText" dxfId="942" priority="1111" operator="containsText" text="Fully Achieved">
      <formula>NOT(ISERROR(SEARCH("Fully Achieved",E12)))</formula>
    </cfRule>
    <cfRule type="containsText" dxfId="941" priority="1112" operator="containsText" text="Deferred">
      <formula>NOT(ISERROR(SEARCH("Deferred",E12)))</formula>
    </cfRule>
    <cfRule type="containsText" dxfId="940" priority="1113" operator="containsText" text="Deleted">
      <formula>NOT(ISERROR(SEARCH("Deleted",E12)))</formula>
    </cfRule>
    <cfRule type="containsText" dxfId="939" priority="1114" operator="containsText" text="In Danger of Falling Behind Target">
      <formula>NOT(ISERROR(SEARCH("In Danger of Falling Behind Target",E12)))</formula>
    </cfRule>
    <cfRule type="containsText" dxfId="938" priority="1115" operator="containsText" text="Not yet due">
      <formula>NOT(ISERROR(SEARCH("Not yet due",E12)))</formula>
    </cfRule>
    <cfRule type="containsText" dxfId="937" priority="1116" operator="containsText" text="Update not Provided">
      <formula>NOT(ISERROR(SEARCH("Update not Provided",E12)))</formula>
    </cfRule>
  </conditionalFormatting>
  <conditionalFormatting sqref="E21:E27">
    <cfRule type="containsText" dxfId="936" priority="1045" operator="containsText" text="On track to be achieved">
      <formula>NOT(ISERROR(SEARCH("On track to be achieved",E21)))</formula>
    </cfRule>
    <cfRule type="containsText" dxfId="935" priority="1046" operator="containsText" text="Deferred">
      <formula>NOT(ISERROR(SEARCH("Deferred",E21)))</formula>
    </cfRule>
    <cfRule type="containsText" dxfId="934" priority="1047" operator="containsText" text="Deleted">
      <formula>NOT(ISERROR(SEARCH("Deleted",E21)))</formula>
    </cfRule>
    <cfRule type="containsText" dxfId="933" priority="1048" operator="containsText" text="In Danger of Falling Behind Target">
      <formula>NOT(ISERROR(SEARCH("In Danger of Falling Behind Target",E21)))</formula>
    </cfRule>
    <cfRule type="containsText" dxfId="932" priority="1049" operator="containsText" text="Not yet due">
      <formula>NOT(ISERROR(SEARCH("Not yet due",E21)))</formula>
    </cfRule>
    <cfRule type="containsText" dxfId="931" priority="1050" operator="containsText" text="Update not Provided">
      <formula>NOT(ISERROR(SEARCH("Update not Provided",E21)))</formula>
    </cfRule>
    <cfRule type="containsText" dxfId="930" priority="1051" operator="containsText" text="Not yet due">
      <formula>NOT(ISERROR(SEARCH("Not yet due",E21)))</formula>
    </cfRule>
    <cfRule type="containsText" dxfId="929" priority="1052" operator="containsText" text="Completed Behind Schedule">
      <formula>NOT(ISERROR(SEARCH("Completed Behind Schedule",E21)))</formula>
    </cfRule>
    <cfRule type="containsText" dxfId="928" priority="1053" operator="containsText" text="Off Target">
      <formula>NOT(ISERROR(SEARCH("Off Target",E21)))</formula>
    </cfRule>
    <cfRule type="containsText" dxfId="927" priority="1054" operator="containsText" text="On Track to be Achieved">
      <formula>NOT(ISERROR(SEARCH("On Track to be Achieved",E21)))</formula>
    </cfRule>
    <cfRule type="containsText" dxfId="926" priority="1055" operator="containsText" text="Fully Achieved">
      <formula>NOT(ISERROR(SEARCH("Fully Achieved",E21)))</formula>
    </cfRule>
    <cfRule type="containsText" dxfId="925" priority="1056" operator="containsText" text="Not yet due">
      <formula>NOT(ISERROR(SEARCH("Not yet due",E21)))</formula>
    </cfRule>
    <cfRule type="containsText" dxfId="924" priority="1057" operator="containsText" text="Not Yet Due">
      <formula>NOT(ISERROR(SEARCH("Not Yet Due",E21)))</formula>
    </cfRule>
    <cfRule type="containsText" dxfId="923" priority="1058" operator="containsText" text="Deferred">
      <formula>NOT(ISERROR(SEARCH("Deferred",E21)))</formula>
    </cfRule>
    <cfRule type="containsText" dxfId="922" priority="1059" operator="containsText" text="Deleted">
      <formula>NOT(ISERROR(SEARCH("Deleted",E21)))</formula>
    </cfRule>
    <cfRule type="containsText" dxfId="921" priority="1060" operator="containsText" text="In Danger of Falling Behind Target">
      <formula>NOT(ISERROR(SEARCH("In Danger of Falling Behind Target",E21)))</formula>
    </cfRule>
    <cfRule type="containsText" dxfId="920" priority="1061" operator="containsText" text="Not yet due">
      <formula>NOT(ISERROR(SEARCH("Not yet due",E21)))</formula>
    </cfRule>
    <cfRule type="containsText" dxfId="919" priority="1062" operator="containsText" text="Completed Behind Schedule">
      <formula>NOT(ISERROR(SEARCH("Completed Behind Schedule",E21)))</formula>
    </cfRule>
    <cfRule type="containsText" dxfId="918" priority="1063" operator="containsText" text="Off Target">
      <formula>NOT(ISERROR(SEARCH("Off Target",E21)))</formula>
    </cfRule>
    <cfRule type="containsText" dxfId="917" priority="1064" operator="containsText" text="In Danger of Falling Behind Target">
      <formula>NOT(ISERROR(SEARCH("In Danger of Falling Behind Target",E21)))</formula>
    </cfRule>
    <cfRule type="containsText" dxfId="916" priority="1065" operator="containsText" text="On Track to be Achieved">
      <formula>NOT(ISERROR(SEARCH("On Track to be Achieved",E21)))</formula>
    </cfRule>
    <cfRule type="containsText" dxfId="915" priority="1066" operator="containsText" text="Fully Achieved">
      <formula>NOT(ISERROR(SEARCH("Fully Achieved",E21)))</formula>
    </cfRule>
    <cfRule type="containsText" dxfId="914" priority="1067" operator="containsText" text="Update not Provided">
      <formula>NOT(ISERROR(SEARCH("Update not Provided",E21)))</formula>
    </cfRule>
    <cfRule type="containsText" dxfId="913" priority="1068" operator="containsText" text="Not yet due">
      <formula>NOT(ISERROR(SEARCH("Not yet due",E21)))</formula>
    </cfRule>
    <cfRule type="containsText" dxfId="912" priority="1069" operator="containsText" text="Completed Behind Schedule">
      <formula>NOT(ISERROR(SEARCH("Completed Behind Schedule",E21)))</formula>
    </cfRule>
    <cfRule type="containsText" dxfId="911" priority="1070" operator="containsText" text="Off Target">
      <formula>NOT(ISERROR(SEARCH("Off Target",E21)))</formula>
    </cfRule>
    <cfRule type="containsText" dxfId="910" priority="1071" operator="containsText" text="In Danger of Falling Behind Target">
      <formula>NOT(ISERROR(SEARCH("In Danger of Falling Behind Target",E21)))</formula>
    </cfRule>
    <cfRule type="containsText" dxfId="909" priority="1072" operator="containsText" text="On Track to be Achieved">
      <formula>NOT(ISERROR(SEARCH("On Track to be Achieved",E21)))</formula>
    </cfRule>
    <cfRule type="containsText" dxfId="908" priority="1073" operator="containsText" text="Fully Achieved">
      <formula>NOT(ISERROR(SEARCH("Fully Achieved",E21)))</formula>
    </cfRule>
    <cfRule type="containsText" dxfId="907" priority="1074" operator="containsText" text="Fully Achieved">
      <formula>NOT(ISERROR(SEARCH("Fully Achieved",E21)))</formula>
    </cfRule>
    <cfRule type="containsText" dxfId="906" priority="1075" operator="containsText" text="Fully Achieved">
      <formula>NOT(ISERROR(SEARCH("Fully Achieved",E21)))</formula>
    </cfRule>
    <cfRule type="containsText" dxfId="905" priority="1076" operator="containsText" text="Deferred">
      <formula>NOT(ISERROR(SEARCH("Deferred",E21)))</formula>
    </cfRule>
    <cfRule type="containsText" dxfId="904" priority="1077" operator="containsText" text="Deleted">
      <formula>NOT(ISERROR(SEARCH("Deleted",E21)))</formula>
    </cfRule>
    <cfRule type="containsText" dxfId="903" priority="1078" operator="containsText" text="In Danger of Falling Behind Target">
      <formula>NOT(ISERROR(SEARCH("In Danger of Falling Behind Target",E21)))</formula>
    </cfRule>
    <cfRule type="containsText" dxfId="902" priority="1079" operator="containsText" text="Not yet due">
      <formula>NOT(ISERROR(SEARCH("Not yet due",E21)))</formula>
    </cfRule>
    <cfRule type="containsText" dxfId="901" priority="1080" operator="containsText" text="Update not Provided">
      <formula>NOT(ISERROR(SEARCH("Update not Provided",E21)))</formula>
    </cfRule>
  </conditionalFormatting>
  <conditionalFormatting sqref="E29:E30">
    <cfRule type="containsText" dxfId="900" priority="1009" operator="containsText" text="On track to be achieved">
      <formula>NOT(ISERROR(SEARCH("On track to be achieved",E29)))</formula>
    </cfRule>
    <cfRule type="containsText" dxfId="899" priority="1010" operator="containsText" text="Deferred">
      <formula>NOT(ISERROR(SEARCH("Deferred",E29)))</formula>
    </cfRule>
    <cfRule type="containsText" dxfId="898" priority="1011" operator="containsText" text="Deleted">
      <formula>NOT(ISERROR(SEARCH("Deleted",E29)))</formula>
    </cfRule>
    <cfRule type="containsText" dxfId="897" priority="1012" operator="containsText" text="In Danger of Falling Behind Target">
      <formula>NOT(ISERROR(SEARCH("In Danger of Falling Behind Target",E29)))</formula>
    </cfRule>
    <cfRule type="containsText" dxfId="896" priority="1013" operator="containsText" text="Not yet due">
      <formula>NOT(ISERROR(SEARCH("Not yet due",E29)))</formula>
    </cfRule>
    <cfRule type="containsText" dxfId="895" priority="1014" operator="containsText" text="Update not Provided">
      <formula>NOT(ISERROR(SEARCH("Update not Provided",E29)))</formula>
    </cfRule>
    <cfRule type="containsText" dxfId="894" priority="1015" operator="containsText" text="Not yet due">
      <formula>NOT(ISERROR(SEARCH("Not yet due",E29)))</formula>
    </cfRule>
    <cfRule type="containsText" dxfId="893" priority="1016" operator="containsText" text="Completed Behind Schedule">
      <formula>NOT(ISERROR(SEARCH("Completed Behind Schedule",E29)))</formula>
    </cfRule>
    <cfRule type="containsText" dxfId="892" priority="1017" operator="containsText" text="Off Target">
      <formula>NOT(ISERROR(SEARCH("Off Target",E29)))</formula>
    </cfRule>
    <cfRule type="containsText" dxfId="891" priority="1018" operator="containsText" text="On Track to be Achieved">
      <formula>NOT(ISERROR(SEARCH("On Track to be Achieved",E29)))</formula>
    </cfRule>
    <cfRule type="containsText" dxfId="890" priority="1019" operator="containsText" text="Fully Achieved">
      <formula>NOT(ISERROR(SEARCH("Fully Achieved",E29)))</formula>
    </cfRule>
    <cfRule type="containsText" dxfId="889" priority="1020" operator="containsText" text="Not yet due">
      <formula>NOT(ISERROR(SEARCH("Not yet due",E29)))</formula>
    </cfRule>
    <cfRule type="containsText" dxfId="888" priority="1021" operator="containsText" text="Not Yet Due">
      <formula>NOT(ISERROR(SEARCH("Not Yet Due",E29)))</formula>
    </cfRule>
    <cfRule type="containsText" dxfId="887" priority="1022" operator="containsText" text="Deferred">
      <formula>NOT(ISERROR(SEARCH("Deferred",E29)))</formula>
    </cfRule>
    <cfRule type="containsText" dxfId="886" priority="1023" operator="containsText" text="Deleted">
      <formula>NOT(ISERROR(SEARCH("Deleted",E29)))</formula>
    </cfRule>
    <cfRule type="containsText" dxfId="885" priority="1024" operator="containsText" text="In Danger of Falling Behind Target">
      <formula>NOT(ISERROR(SEARCH("In Danger of Falling Behind Target",E29)))</formula>
    </cfRule>
    <cfRule type="containsText" dxfId="884" priority="1025" operator="containsText" text="Not yet due">
      <formula>NOT(ISERROR(SEARCH("Not yet due",E29)))</formula>
    </cfRule>
    <cfRule type="containsText" dxfId="883" priority="1026" operator="containsText" text="Completed Behind Schedule">
      <formula>NOT(ISERROR(SEARCH("Completed Behind Schedule",E29)))</formula>
    </cfRule>
    <cfRule type="containsText" dxfId="882" priority="1027" operator="containsText" text="Off Target">
      <formula>NOT(ISERROR(SEARCH("Off Target",E29)))</formula>
    </cfRule>
    <cfRule type="containsText" dxfId="881" priority="1028" operator="containsText" text="In Danger of Falling Behind Target">
      <formula>NOT(ISERROR(SEARCH("In Danger of Falling Behind Target",E29)))</formula>
    </cfRule>
    <cfRule type="containsText" dxfId="880" priority="1029" operator="containsText" text="On Track to be Achieved">
      <formula>NOT(ISERROR(SEARCH("On Track to be Achieved",E29)))</formula>
    </cfRule>
    <cfRule type="containsText" dxfId="879" priority="1030" operator="containsText" text="Fully Achieved">
      <formula>NOT(ISERROR(SEARCH("Fully Achieved",E29)))</formula>
    </cfRule>
    <cfRule type="containsText" dxfId="878" priority="1031" operator="containsText" text="Update not Provided">
      <formula>NOT(ISERROR(SEARCH("Update not Provided",E29)))</formula>
    </cfRule>
    <cfRule type="containsText" dxfId="877" priority="1032" operator="containsText" text="Not yet due">
      <formula>NOT(ISERROR(SEARCH("Not yet due",E29)))</formula>
    </cfRule>
    <cfRule type="containsText" dxfId="876" priority="1033" operator="containsText" text="Completed Behind Schedule">
      <formula>NOT(ISERROR(SEARCH("Completed Behind Schedule",E29)))</formula>
    </cfRule>
    <cfRule type="containsText" dxfId="875" priority="1034" operator="containsText" text="Off Target">
      <formula>NOT(ISERROR(SEARCH("Off Target",E29)))</formula>
    </cfRule>
    <cfRule type="containsText" dxfId="874" priority="1035" operator="containsText" text="In Danger of Falling Behind Target">
      <formula>NOT(ISERROR(SEARCH("In Danger of Falling Behind Target",E29)))</formula>
    </cfRule>
    <cfRule type="containsText" dxfId="873" priority="1036" operator="containsText" text="On Track to be Achieved">
      <formula>NOT(ISERROR(SEARCH("On Track to be Achieved",E29)))</formula>
    </cfRule>
    <cfRule type="containsText" dxfId="872" priority="1037" operator="containsText" text="Fully Achieved">
      <formula>NOT(ISERROR(SEARCH("Fully Achieved",E29)))</formula>
    </cfRule>
    <cfRule type="containsText" dxfId="871" priority="1038" operator="containsText" text="Fully Achieved">
      <formula>NOT(ISERROR(SEARCH("Fully Achieved",E29)))</formula>
    </cfRule>
    <cfRule type="containsText" dxfId="870" priority="1039" operator="containsText" text="Fully Achieved">
      <formula>NOT(ISERROR(SEARCH("Fully Achieved",E29)))</formula>
    </cfRule>
    <cfRule type="containsText" dxfId="869" priority="1040" operator="containsText" text="Deferred">
      <formula>NOT(ISERROR(SEARCH("Deferred",E29)))</formula>
    </cfRule>
    <cfRule type="containsText" dxfId="868" priority="1041" operator="containsText" text="Deleted">
      <formula>NOT(ISERROR(SEARCH("Deleted",E29)))</formula>
    </cfRule>
    <cfRule type="containsText" dxfId="867" priority="1042" operator="containsText" text="In Danger of Falling Behind Target">
      <formula>NOT(ISERROR(SEARCH("In Danger of Falling Behind Target",E29)))</formula>
    </cfRule>
    <cfRule type="containsText" dxfId="866" priority="1043" operator="containsText" text="Not yet due">
      <formula>NOT(ISERROR(SEARCH("Not yet due",E29)))</formula>
    </cfRule>
    <cfRule type="containsText" dxfId="865" priority="1044" operator="containsText" text="Update not Provided">
      <formula>NOT(ISERROR(SEARCH("Update not Provided",E29)))</formula>
    </cfRule>
  </conditionalFormatting>
  <conditionalFormatting sqref="E31">
    <cfRule type="containsText" dxfId="864" priority="973" operator="containsText" text="On track to be achieved">
      <formula>NOT(ISERROR(SEARCH("On track to be achieved",E31)))</formula>
    </cfRule>
    <cfRule type="containsText" dxfId="863" priority="974" operator="containsText" text="Deferred">
      <formula>NOT(ISERROR(SEARCH("Deferred",E31)))</formula>
    </cfRule>
    <cfRule type="containsText" dxfId="862" priority="975" operator="containsText" text="Deleted">
      <formula>NOT(ISERROR(SEARCH("Deleted",E31)))</formula>
    </cfRule>
    <cfRule type="containsText" dxfId="861" priority="976" operator="containsText" text="In Danger of Falling Behind Target">
      <formula>NOT(ISERROR(SEARCH("In Danger of Falling Behind Target",E31)))</formula>
    </cfRule>
    <cfRule type="containsText" dxfId="860" priority="977" operator="containsText" text="Not yet due">
      <formula>NOT(ISERROR(SEARCH("Not yet due",E31)))</formula>
    </cfRule>
    <cfRule type="containsText" dxfId="859" priority="978" operator="containsText" text="Update not Provided">
      <formula>NOT(ISERROR(SEARCH("Update not Provided",E31)))</formula>
    </cfRule>
    <cfRule type="containsText" dxfId="858" priority="979" operator="containsText" text="Not yet due">
      <formula>NOT(ISERROR(SEARCH("Not yet due",E31)))</formula>
    </cfRule>
    <cfRule type="containsText" dxfId="857" priority="980" operator="containsText" text="Completed Behind Schedule">
      <formula>NOT(ISERROR(SEARCH("Completed Behind Schedule",E31)))</formula>
    </cfRule>
    <cfRule type="containsText" dxfId="856" priority="981" operator="containsText" text="Off Target">
      <formula>NOT(ISERROR(SEARCH("Off Target",E31)))</formula>
    </cfRule>
    <cfRule type="containsText" dxfId="855" priority="982" operator="containsText" text="On Track to be Achieved">
      <formula>NOT(ISERROR(SEARCH("On Track to be Achieved",E31)))</formula>
    </cfRule>
    <cfRule type="containsText" dxfId="854" priority="983" operator="containsText" text="Fully Achieved">
      <formula>NOT(ISERROR(SEARCH("Fully Achieved",E31)))</formula>
    </cfRule>
    <cfRule type="containsText" dxfId="853" priority="984" operator="containsText" text="Not yet due">
      <formula>NOT(ISERROR(SEARCH("Not yet due",E31)))</formula>
    </cfRule>
    <cfRule type="containsText" dxfId="852" priority="985" operator="containsText" text="Not Yet Due">
      <formula>NOT(ISERROR(SEARCH("Not Yet Due",E31)))</formula>
    </cfRule>
    <cfRule type="containsText" dxfId="851" priority="986" operator="containsText" text="Deferred">
      <formula>NOT(ISERROR(SEARCH("Deferred",E31)))</formula>
    </cfRule>
    <cfRule type="containsText" dxfId="850" priority="987" operator="containsText" text="Deleted">
      <formula>NOT(ISERROR(SEARCH("Deleted",E31)))</formula>
    </cfRule>
    <cfRule type="containsText" dxfId="849" priority="988" operator="containsText" text="In Danger of Falling Behind Target">
      <formula>NOT(ISERROR(SEARCH("In Danger of Falling Behind Target",E31)))</formula>
    </cfRule>
    <cfRule type="containsText" dxfId="848" priority="989" operator="containsText" text="Not yet due">
      <formula>NOT(ISERROR(SEARCH("Not yet due",E31)))</formula>
    </cfRule>
    <cfRule type="containsText" dxfId="847" priority="990" operator="containsText" text="Completed Behind Schedule">
      <formula>NOT(ISERROR(SEARCH("Completed Behind Schedule",E31)))</formula>
    </cfRule>
    <cfRule type="containsText" dxfId="846" priority="991" operator="containsText" text="Off Target">
      <formula>NOT(ISERROR(SEARCH("Off Target",E31)))</formula>
    </cfRule>
    <cfRule type="containsText" dxfId="845" priority="992" operator="containsText" text="In Danger of Falling Behind Target">
      <formula>NOT(ISERROR(SEARCH("In Danger of Falling Behind Target",E31)))</formula>
    </cfRule>
    <cfRule type="containsText" dxfId="844" priority="993" operator="containsText" text="On Track to be Achieved">
      <formula>NOT(ISERROR(SEARCH("On Track to be Achieved",E31)))</formula>
    </cfRule>
    <cfRule type="containsText" dxfId="843" priority="994" operator="containsText" text="Fully Achieved">
      <formula>NOT(ISERROR(SEARCH("Fully Achieved",E31)))</formula>
    </cfRule>
    <cfRule type="containsText" dxfId="842" priority="995" operator="containsText" text="Update not Provided">
      <formula>NOT(ISERROR(SEARCH("Update not Provided",E31)))</formula>
    </cfRule>
    <cfRule type="containsText" dxfId="841" priority="996" operator="containsText" text="Not yet due">
      <formula>NOT(ISERROR(SEARCH("Not yet due",E31)))</formula>
    </cfRule>
    <cfRule type="containsText" dxfId="840" priority="997" operator="containsText" text="Completed Behind Schedule">
      <formula>NOT(ISERROR(SEARCH("Completed Behind Schedule",E31)))</formula>
    </cfRule>
    <cfRule type="containsText" dxfId="839" priority="998" operator="containsText" text="Off Target">
      <formula>NOT(ISERROR(SEARCH("Off Target",E31)))</formula>
    </cfRule>
    <cfRule type="containsText" dxfId="838" priority="999" operator="containsText" text="In Danger of Falling Behind Target">
      <formula>NOT(ISERROR(SEARCH("In Danger of Falling Behind Target",E31)))</formula>
    </cfRule>
    <cfRule type="containsText" dxfId="837" priority="1000" operator="containsText" text="On Track to be Achieved">
      <formula>NOT(ISERROR(SEARCH("On Track to be Achieved",E31)))</formula>
    </cfRule>
    <cfRule type="containsText" dxfId="836" priority="1001" operator="containsText" text="Fully Achieved">
      <formula>NOT(ISERROR(SEARCH("Fully Achieved",E31)))</formula>
    </cfRule>
    <cfRule type="containsText" dxfId="835" priority="1002" operator="containsText" text="Fully Achieved">
      <formula>NOT(ISERROR(SEARCH("Fully Achieved",E31)))</formula>
    </cfRule>
    <cfRule type="containsText" dxfId="834" priority="1003" operator="containsText" text="Fully Achieved">
      <formula>NOT(ISERROR(SEARCH("Fully Achieved",E31)))</formula>
    </cfRule>
    <cfRule type="containsText" dxfId="833" priority="1004" operator="containsText" text="Deferred">
      <formula>NOT(ISERROR(SEARCH("Deferred",E31)))</formula>
    </cfRule>
    <cfRule type="containsText" dxfId="832" priority="1005" operator="containsText" text="Deleted">
      <formula>NOT(ISERROR(SEARCH("Deleted",E31)))</formula>
    </cfRule>
    <cfRule type="containsText" dxfId="831" priority="1006" operator="containsText" text="In Danger of Falling Behind Target">
      <formula>NOT(ISERROR(SEARCH("In Danger of Falling Behind Target",E31)))</formula>
    </cfRule>
    <cfRule type="containsText" dxfId="830" priority="1007" operator="containsText" text="Not yet due">
      <formula>NOT(ISERROR(SEARCH("Not yet due",E31)))</formula>
    </cfRule>
    <cfRule type="containsText" dxfId="829" priority="1008" operator="containsText" text="Update not Provided">
      <formula>NOT(ISERROR(SEARCH("Update not Provided",E31)))</formula>
    </cfRule>
  </conditionalFormatting>
  <conditionalFormatting sqref="E33">
    <cfRule type="containsText" dxfId="828" priority="937" operator="containsText" text="On track to be achieved">
      <formula>NOT(ISERROR(SEARCH("On track to be achieved",E33)))</formula>
    </cfRule>
    <cfRule type="containsText" dxfId="827" priority="938" operator="containsText" text="Deferred">
      <formula>NOT(ISERROR(SEARCH("Deferred",E33)))</formula>
    </cfRule>
    <cfRule type="containsText" dxfId="826" priority="939" operator="containsText" text="Deleted">
      <formula>NOT(ISERROR(SEARCH("Deleted",E33)))</formula>
    </cfRule>
    <cfRule type="containsText" dxfId="825" priority="940" operator="containsText" text="In Danger of Falling Behind Target">
      <formula>NOT(ISERROR(SEARCH("In Danger of Falling Behind Target",E33)))</formula>
    </cfRule>
    <cfRule type="containsText" dxfId="824" priority="941" operator="containsText" text="Not yet due">
      <formula>NOT(ISERROR(SEARCH("Not yet due",E33)))</formula>
    </cfRule>
    <cfRule type="containsText" dxfId="823" priority="942" operator="containsText" text="Update not Provided">
      <formula>NOT(ISERROR(SEARCH("Update not Provided",E33)))</formula>
    </cfRule>
    <cfRule type="containsText" dxfId="822" priority="943" operator="containsText" text="Not yet due">
      <formula>NOT(ISERROR(SEARCH("Not yet due",E33)))</formula>
    </cfRule>
    <cfRule type="containsText" dxfId="821" priority="944" operator="containsText" text="Completed Behind Schedule">
      <formula>NOT(ISERROR(SEARCH("Completed Behind Schedule",E33)))</formula>
    </cfRule>
    <cfRule type="containsText" dxfId="820" priority="945" operator="containsText" text="Off Target">
      <formula>NOT(ISERROR(SEARCH("Off Target",E33)))</formula>
    </cfRule>
    <cfRule type="containsText" dxfId="819" priority="946" operator="containsText" text="On Track to be Achieved">
      <formula>NOT(ISERROR(SEARCH("On Track to be Achieved",E33)))</formula>
    </cfRule>
    <cfRule type="containsText" dxfId="818" priority="947" operator="containsText" text="Fully Achieved">
      <formula>NOT(ISERROR(SEARCH("Fully Achieved",E33)))</formula>
    </cfRule>
    <cfRule type="containsText" dxfId="817" priority="948" operator="containsText" text="Not yet due">
      <formula>NOT(ISERROR(SEARCH("Not yet due",E33)))</formula>
    </cfRule>
    <cfRule type="containsText" dxfId="816" priority="949" operator="containsText" text="Not Yet Due">
      <formula>NOT(ISERROR(SEARCH("Not Yet Due",E33)))</formula>
    </cfRule>
    <cfRule type="containsText" dxfId="815" priority="950" operator="containsText" text="Deferred">
      <formula>NOT(ISERROR(SEARCH("Deferred",E33)))</formula>
    </cfRule>
    <cfRule type="containsText" dxfId="814" priority="951" operator="containsText" text="Deleted">
      <formula>NOT(ISERROR(SEARCH("Deleted",E33)))</formula>
    </cfRule>
    <cfRule type="containsText" dxfId="813" priority="952" operator="containsText" text="In Danger of Falling Behind Target">
      <formula>NOT(ISERROR(SEARCH("In Danger of Falling Behind Target",E33)))</formula>
    </cfRule>
    <cfRule type="containsText" dxfId="812" priority="953" operator="containsText" text="Not yet due">
      <formula>NOT(ISERROR(SEARCH("Not yet due",E33)))</formula>
    </cfRule>
    <cfRule type="containsText" dxfId="811" priority="954" operator="containsText" text="Completed Behind Schedule">
      <formula>NOT(ISERROR(SEARCH("Completed Behind Schedule",E33)))</formula>
    </cfRule>
    <cfRule type="containsText" dxfId="810" priority="955" operator="containsText" text="Off Target">
      <formula>NOT(ISERROR(SEARCH("Off Target",E33)))</formula>
    </cfRule>
    <cfRule type="containsText" dxfId="809" priority="956" operator="containsText" text="In Danger of Falling Behind Target">
      <formula>NOT(ISERROR(SEARCH("In Danger of Falling Behind Target",E33)))</formula>
    </cfRule>
    <cfRule type="containsText" dxfId="808" priority="957" operator="containsText" text="On Track to be Achieved">
      <formula>NOT(ISERROR(SEARCH("On Track to be Achieved",E33)))</formula>
    </cfRule>
    <cfRule type="containsText" dxfId="807" priority="958" operator="containsText" text="Fully Achieved">
      <formula>NOT(ISERROR(SEARCH("Fully Achieved",E33)))</formula>
    </cfRule>
    <cfRule type="containsText" dxfId="806" priority="959" operator="containsText" text="Update not Provided">
      <formula>NOT(ISERROR(SEARCH("Update not Provided",E33)))</formula>
    </cfRule>
    <cfRule type="containsText" dxfId="805" priority="960" operator="containsText" text="Not yet due">
      <formula>NOT(ISERROR(SEARCH("Not yet due",E33)))</formula>
    </cfRule>
    <cfRule type="containsText" dxfId="804" priority="961" operator="containsText" text="Completed Behind Schedule">
      <formula>NOT(ISERROR(SEARCH("Completed Behind Schedule",E33)))</formula>
    </cfRule>
    <cfRule type="containsText" dxfId="803" priority="962" operator="containsText" text="Off Target">
      <formula>NOT(ISERROR(SEARCH("Off Target",E33)))</formula>
    </cfRule>
    <cfRule type="containsText" dxfId="802" priority="963" operator="containsText" text="In Danger of Falling Behind Target">
      <formula>NOT(ISERROR(SEARCH("In Danger of Falling Behind Target",E33)))</formula>
    </cfRule>
    <cfRule type="containsText" dxfId="801" priority="964" operator="containsText" text="On Track to be Achieved">
      <formula>NOT(ISERROR(SEARCH("On Track to be Achieved",E33)))</formula>
    </cfRule>
    <cfRule type="containsText" dxfId="800" priority="965" operator="containsText" text="Fully Achieved">
      <formula>NOT(ISERROR(SEARCH("Fully Achieved",E33)))</formula>
    </cfRule>
    <cfRule type="containsText" dxfId="799" priority="966" operator="containsText" text="Fully Achieved">
      <formula>NOT(ISERROR(SEARCH("Fully Achieved",E33)))</formula>
    </cfRule>
    <cfRule type="containsText" dxfId="798" priority="967" operator="containsText" text="Fully Achieved">
      <formula>NOT(ISERROR(SEARCH("Fully Achieved",E33)))</formula>
    </cfRule>
    <cfRule type="containsText" dxfId="797" priority="968" operator="containsText" text="Deferred">
      <formula>NOT(ISERROR(SEARCH("Deferred",E33)))</formula>
    </cfRule>
    <cfRule type="containsText" dxfId="796" priority="969" operator="containsText" text="Deleted">
      <formula>NOT(ISERROR(SEARCH("Deleted",E33)))</formula>
    </cfRule>
    <cfRule type="containsText" dxfId="795" priority="970" operator="containsText" text="In Danger of Falling Behind Target">
      <formula>NOT(ISERROR(SEARCH("In Danger of Falling Behind Target",E33)))</formula>
    </cfRule>
    <cfRule type="containsText" dxfId="794" priority="971" operator="containsText" text="Not yet due">
      <formula>NOT(ISERROR(SEARCH("Not yet due",E33)))</formula>
    </cfRule>
    <cfRule type="containsText" dxfId="793" priority="972" operator="containsText" text="Update not Provided">
      <formula>NOT(ISERROR(SEARCH("Update not Provided",E33)))</formula>
    </cfRule>
  </conditionalFormatting>
  <conditionalFormatting sqref="E34">
    <cfRule type="containsText" dxfId="792" priority="901" operator="containsText" text="On track to be achieved">
      <formula>NOT(ISERROR(SEARCH("On track to be achieved",E34)))</formula>
    </cfRule>
    <cfRule type="containsText" dxfId="791" priority="902" operator="containsText" text="Deferred">
      <formula>NOT(ISERROR(SEARCH("Deferred",E34)))</formula>
    </cfRule>
    <cfRule type="containsText" dxfId="790" priority="903" operator="containsText" text="Deleted">
      <formula>NOT(ISERROR(SEARCH("Deleted",E34)))</formula>
    </cfRule>
    <cfRule type="containsText" dxfId="789" priority="904" operator="containsText" text="In Danger of Falling Behind Target">
      <formula>NOT(ISERROR(SEARCH("In Danger of Falling Behind Target",E34)))</formula>
    </cfRule>
    <cfRule type="containsText" dxfId="788" priority="905" operator="containsText" text="Not yet due">
      <formula>NOT(ISERROR(SEARCH("Not yet due",E34)))</formula>
    </cfRule>
    <cfRule type="containsText" dxfId="787" priority="906" operator="containsText" text="Update not Provided">
      <formula>NOT(ISERROR(SEARCH("Update not Provided",E34)))</formula>
    </cfRule>
    <cfRule type="containsText" dxfId="786" priority="907" operator="containsText" text="Not yet due">
      <formula>NOT(ISERROR(SEARCH("Not yet due",E34)))</formula>
    </cfRule>
    <cfRule type="containsText" dxfId="785" priority="908" operator="containsText" text="Completed Behind Schedule">
      <formula>NOT(ISERROR(SEARCH("Completed Behind Schedule",E34)))</formula>
    </cfRule>
    <cfRule type="containsText" dxfId="784" priority="909" operator="containsText" text="Off Target">
      <formula>NOT(ISERROR(SEARCH("Off Target",E34)))</formula>
    </cfRule>
    <cfRule type="containsText" dxfId="783" priority="910" operator="containsText" text="On Track to be Achieved">
      <formula>NOT(ISERROR(SEARCH("On Track to be Achieved",E34)))</formula>
    </cfRule>
    <cfRule type="containsText" dxfId="782" priority="911" operator="containsText" text="Fully Achieved">
      <formula>NOT(ISERROR(SEARCH("Fully Achieved",E34)))</formula>
    </cfRule>
    <cfRule type="containsText" dxfId="781" priority="912" operator="containsText" text="Not yet due">
      <formula>NOT(ISERROR(SEARCH("Not yet due",E34)))</formula>
    </cfRule>
    <cfRule type="containsText" dxfId="780" priority="913" operator="containsText" text="Not Yet Due">
      <formula>NOT(ISERROR(SEARCH("Not Yet Due",E34)))</formula>
    </cfRule>
    <cfRule type="containsText" dxfId="779" priority="914" operator="containsText" text="Deferred">
      <formula>NOT(ISERROR(SEARCH("Deferred",E34)))</formula>
    </cfRule>
    <cfRule type="containsText" dxfId="778" priority="915" operator="containsText" text="Deleted">
      <formula>NOT(ISERROR(SEARCH("Deleted",E34)))</formula>
    </cfRule>
    <cfRule type="containsText" dxfId="777" priority="916" operator="containsText" text="In Danger of Falling Behind Target">
      <formula>NOT(ISERROR(SEARCH("In Danger of Falling Behind Target",E34)))</formula>
    </cfRule>
    <cfRule type="containsText" dxfId="776" priority="917" operator="containsText" text="Not yet due">
      <formula>NOT(ISERROR(SEARCH("Not yet due",E34)))</formula>
    </cfRule>
    <cfRule type="containsText" dxfId="775" priority="918" operator="containsText" text="Completed Behind Schedule">
      <formula>NOT(ISERROR(SEARCH("Completed Behind Schedule",E34)))</formula>
    </cfRule>
    <cfRule type="containsText" dxfId="774" priority="919" operator="containsText" text="Off Target">
      <formula>NOT(ISERROR(SEARCH("Off Target",E34)))</formula>
    </cfRule>
    <cfRule type="containsText" dxfId="773" priority="920" operator="containsText" text="In Danger of Falling Behind Target">
      <formula>NOT(ISERROR(SEARCH("In Danger of Falling Behind Target",E34)))</formula>
    </cfRule>
    <cfRule type="containsText" dxfId="772" priority="921" operator="containsText" text="On Track to be Achieved">
      <formula>NOT(ISERROR(SEARCH("On Track to be Achieved",E34)))</formula>
    </cfRule>
    <cfRule type="containsText" dxfId="771" priority="922" operator="containsText" text="Fully Achieved">
      <formula>NOT(ISERROR(SEARCH("Fully Achieved",E34)))</formula>
    </cfRule>
    <cfRule type="containsText" dxfId="770" priority="923" operator="containsText" text="Update not Provided">
      <formula>NOT(ISERROR(SEARCH("Update not Provided",E34)))</formula>
    </cfRule>
    <cfRule type="containsText" dxfId="769" priority="924" operator="containsText" text="Not yet due">
      <formula>NOT(ISERROR(SEARCH("Not yet due",E34)))</formula>
    </cfRule>
    <cfRule type="containsText" dxfId="768" priority="925" operator="containsText" text="Completed Behind Schedule">
      <formula>NOT(ISERROR(SEARCH("Completed Behind Schedule",E34)))</formula>
    </cfRule>
    <cfRule type="containsText" dxfId="767" priority="926" operator="containsText" text="Off Target">
      <formula>NOT(ISERROR(SEARCH("Off Target",E34)))</formula>
    </cfRule>
    <cfRule type="containsText" dxfId="766" priority="927" operator="containsText" text="In Danger of Falling Behind Target">
      <formula>NOT(ISERROR(SEARCH("In Danger of Falling Behind Target",E34)))</formula>
    </cfRule>
    <cfRule type="containsText" dxfId="765" priority="928" operator="containsText" text="On Track to be Achieved">
      <formula>NOT(ISERROR(SEARCH("On Track to be Achieved",E34)))</formula>
    </cfRule>
    <cfRule type="containsText" dxfId="764" priority="929" operator="containsText" text="Fully Achieved">
      <formula>NOT(ISERROR(SEARCH("Fully Achieved",E34)))</formula>
    </cfRule>
    <cfRule type="containsText" dxfId="763" priority="930" operator="containsText" text="Fully Achieved">
      <formula>NOT(ISERROR(SEARCH("Fully Achieved",E34)))</formula>
    </cfRule>
    <cfRule type="containsText" dxfId="762" priority="931" operator="containsText" text="Fully Achieved">
      <formula>NOT(ISERROR(SEARCH("Fully Achieved",E34)))</formula>
    </cfRule>
    <cfRule type="containsText" dxfId="761" priority="932" operator="containsText" text="Deferred">
      <formula>NOT(ISERROR(SEARCH("Deferred",E34)))</formula>
    </cfRule>
    <cfRule type="containsText" dxfId="760" priority="933" operator="containsText" text="Deleted">
      <formula>NOT(ISERROR(SEARCH("Deleted",E34)))</formula>
    </cfRule>
    <cfRule type="containsText" dxfId="759" priority="934" operator="containsText" text="In Danger of Falling Behind Target">
      <formula>NOT(ISERROR(SEARCH("In Danger of Falling Behind Target",E34)))</formula>
    </cfRule>
    <cfRule type="containsText" dxfId="758" priority="935" operator="containsText" text="Not yet due">
      <formula>NOT(ISERROR(SEARCH("Not yet due",E34)))</formula>
    </cfRule>
    <cfRule type="containsText" dxfId="757" priority="936" operator="containsText" text="Update not Provided">
      <formula>NOT(ISERROR(SEARCH("Update not Provided",E34)))</formula>
    </cfRule>
  </conditionalFormatting>
  <conditionalFormatting sqref="E36">
    <cfRule type="containsText" dxfId="756" priority="865" operator="containsText" text="On track to be achieved">
      <formula>NOT(ISERROR(SEARCH("On track to be achieved",E36)))</formula>
    </cfRule>
    <cfRule type="containsText" dxfId="755" priority="866" operator="containsText" text="Deferred">
      <formula>NOT(ISERROR(SEARCH("Deferred",E36)))</formula>
    </cfRule>
    <cfRule type="containsText" dxfId="754" priority="867" operator="containsText" text="Deleted">
      <formula>NOT(ISERROR(SEARCH("Deleted",E36)))</formula>
    </cfRule>
    <cfRule type="containsText" dxfId="753" priority="868" operator="containsText" text="In Danger of Falling Behind Target">
      <formula>NOT(ISERROR(SEARCH("In Danger of Falling Behind Target",E36)))</formula>
    </cfRule>
    <cfRule type="containsText" dxfId="752" priority="869" operator="containsText" text="Not yet due">
      <formula>NOT(ISERROR(SEARCH("Not yet due",E36)))</formula>
    </cfRule>
    <cfRule type="containsText" dxfId="751" priority="870" operator="containsText" text="Update not Provided">
      <formula>NOT(ISERROR(SEARCH("Update not Provided",E36)))</formula>
    </cfRule>
    <cfRule type="containsText" dxfId="750" priority="871" operator="containsText" text="Not yet due">
      <formula>NOT(ISERROR(SEARCH("Not yet due",E36)))</formula>
    </cfRule>
    <cfRule type="containsText" dxfId="749" priority="872" operator="containsText" text="Completed Behind Schedule">
      <formula>NOT(ISERROR(SEARCH("Completed Behind Schedule",E36)))</formula>
    </cfRule>
    <cfRule type="containsText" dxfId="748" priority="873" operator="containsText" text="Off Target">
      <formula>NOT(ISERROR(SEARCH("Off Target",E36)))</formula>
    </cfRule>
    <cfRule type="containsText" dxfId="747" priority="874" operator="containsText" text="On Track to be Achieved">
      <formula>NOT(ISERROR(SEARCH("On Track to be Achieved",E36)))</formula>
    </cfRule>
    <cfRule type="containsText" dxfId="746" priority="875" operator="containsText" text="Fully Achieved">
      <formula>NOT(ISERROR(SEARCH("Fully Achieved",E36)))</formula>
    </cfRule>
    <cfRule type="containsText" dxfId="745" priority="876" operator="containsText" text="Not yet due">
      <formula>NOT(ISERROR(SEARCH("Not yet due",E36)))</formula>
    </cfRule>
    <cfRule type="containsText" dxfId="744" priority="877" operator="containsText" text="Not Yet Due">
      <formula>NOT(ISERROR(SEARCH("Not Yet Due",E36)))</formula>
    </cfRule>
    <cfRule type="containsText" dxfId="743" priority="878" operator="containsText" text="Deferred">
      <formula>NOT(ISERROR(SEARCH("Deferred",E36)))</formula>
    </cfRule>
    <cfRule type="containsText" dxfId="742" priority="879" operator="containsText" text="Deleted">
      <formula>NOT(ISERROR(SEARCH("Deleted",E36)))</formula>
    </cfRule>
    <cfRule type="containsText" dxfId="741" priority="880" operator="containsText" text="In Danger of Falling Behind Target">
      <formula>NOT(ISERROR(SEARCH("In Danger of Falling Behind Target",E36)))</formula>
    </cfRule>
    <cfRule type="containsText" dxfId="740" priority="881" operator="containsText" text="Not yet due">
      <formula>NOT(ISERROR(SEARCH("Not yet due",E36)))</formula>
    </cfRule>
    <cfRule type="containsText" dxfId="739" priority="882" operator="containsText" text="Completed Behind Schedule">
      <formula>NOT(ISERROR(SEARCH("Completed Behind Schedule",E36)))</formula>
    </cfRule>
    <cfRule type="containsText" dxfId="738" priority="883" operator="containsText" text="Off Target">
      <formula>NOT(ISERROR(SEARCH("Off Target",E36)))</formula>
    </cfRule>
    <cfRule type="containsText" dxfId="737" priority="884" operator="containsText" text="In Danger of Falling Behind Target">
      <formula>NOT(ISERROR(SEARCH("In Danger of Falling Behind Target",E36)))</formula>
    </cfRule>
    <cfRule type="containsText" dxfId="736" priority="885" operator="containsText" text="On Track to be Achieved">
      <formula>NOT(ISERROR(SEARCH("On Track to be Achieved",E36)))</formula>
    </cfRule>
    <cfRule type="containsText" dxfId="735" priority="886" operator="containsText" text="Fully Achieved">
      <formula>NOT(ISERROR(SEARCH("Fully Achieved",E36)))</formula>
    </cfRule>
    <cfRule type="containsText" dxfId="734" priority="887" operator="containsText" text="Update not Provided">
      <formula>NOT(ISERROR(SEARCH("Update not Provided",E36)))</formula>
    </cfRule>
    <cfRule type="containsText" dxfId="733" priority="888" operator="containsText" text="Not yet due">
      <formula>NOT(ISERROR(SEARCH("Not yet due",E36)))</formula>
    </cfRule>
    <cfRule type="containsText" dxfId="732" priority="889" operator="containsText" text="Completed Behind Schedule">
      <formula>NOT(ISERROR(SEARCH("Completed Behind Schedule",E36)))</formula>
    </cfRule>
    <cfRule type="containsText" dxfId="731" priority="890" operator="containsText" text="Off Target">
      <formula>NOT(ISERROR(SEARCH("Off Target",E36)))</formula>
    </cfRule>
    <cfRule type="containsText" dxfId="730" priority="891" operator="containsText" text="In Danger of Falling Behind Target">
      <formula>NOT(ISERROR(SEARCH("In Danger of Falling Behind Target",E36)))</formula>
    </cfRule>
    <cfRule type="containsText" dxfId="729" priority="892" operator="containsText" text="On Track to be Achieved">
      <formula>NOT(ISERROR(SEARCH("On Track to be Achieved",E36)))</formula>
    </cfRule>
    <cfRule type="containsText" dxfId="728" priority="893" operator="containsText" text="Fully Achieved">
      <formula>NOT(ISERROR(SEARCH("Fully Achieved",E36)))</formula>
    </cfRule>
    <cfRule type="containsText" dxfId="727" priority="894" operator="containsText" text="Fully Achieved">
      <formula>NOT(ISERROR(SEARCH("Fully Achieved",E36)))</formula>
    </cfRule>
    <cfRule type="containsText" dxfId="726" priority="895" operator="containsText" text="Fully Achieved">
      <formula>NOT(ISERROR(SEARCH("Fully Achieved",E36)))</formula>
    </cfRule>
    <cfRule type="containsText" dxfId="725" priority="896" operator="containsText" text="Deferred">
      <formula>NOT(ISERROR(SEARCH("Deferred",E36)))</formula>
    </cfRule>
    <cfRule type="containsText" dxfId="724" priority="897" operator="containsText" text="Deleted">
      <formula>NOT(ISERROR(SEARCH("Deleted",E36)))</formula>
    </cfRule>
    <cfRule type="containsText" dxfId="723" priority="898" operator="containsText" text="In Danger of Falling Behind Target">
      <formula>NOT(ISERROR(SEARCH("In Danger of Falling Behind Target",E36)))</formula>
    </cfRule>
    <cfRule type="containsText" dxfId="722" priority="899" operator="containsText" text="Not yet due">
      <formula>NOT(ISERROR(SEARCH("Not yet due",E36)))</formula>
    </cfRule>
    <cfRule type="containsText" dxfId="721" priority="900" operator="containsText" text="Update not Provided">
      <formula>NOT(ISERROR(SEARCH("Update not Provided",E36)))</formula>
    </cfRule>
  </conditionalFormatting>
  <conditionalFormatting sqref="E38">
    <cfRule type="containsText" dxfId="720" priority="829" operator="containsText" text="On track to be achieved">
      <formula>NOT(ISERROR(SEARCH("On track to be achieved",E38)))</formula>
    </cfRule>
    <cfRule type="containsText" dxfId="719" priority="830" operator="containsText" text="Deferred">
      <formula>NOT(ISERROR(SEARCH("Deferred",E38)))</formula>
    </cfRule>
    <cfRule type="containsText" dxfId="718" priority="831" operator="containsText" text="Deleted">
      <formula>NOT(ISERROR(SEARCH("Deleted",E38)))</formula>
    </cfRule>
    <cfRule type="containsText" dxfId="717" priority="832" operator="containsText" text="In Danger of Falling Behind Target">
      <formula>NOT(ISERROR(SEARCH("In Danger of Falling Behind Target",E38)))</formula>
    </cfRule>
    <cfRule type="containsText" dxfId="716" priority="833" operator="containsText" text="Not yet due">
      <formula>NOT(ISERROR(SEARCH("Not yet due",E38)))</formula>
    </cfRule>
    <cfRule type="containsText" dxfId="715" priority="834" operator="containsText" text="Update not Provided">
      <formula>NOT(ISERROR(SEARCH("Update not Provided",E38)))</formula>
    </cfRule>
    <cfRule type="containsText" dxfId="714" priority="835" operator="containsText" text="Not yet due">
      <formula>NOT(ISERROR(SEARCH("Not yet due",E38)))</formula>
    </cfRule>
    <cfRule type="containsText" dxfId="713" priority="836" operator="containsText" text="Completed Behind Schedule">
      <formula>NOT(ISERROR(SEARCH("Completed Behind Schedule",E38)))</formula>
    </cfRule>
    <cfRule type="containsText" dxfId="712" priority="837" operator="containsText" text="Off Target">
      <formula>NOT(ISERROR(SEARCH("Off Target",E38)))</formula>
    </cfRule>
    <cfRule type="containsText" dxfId="711" priority="838" operator="containsText" text="On Track to be Achieved">
      <formula>NOT(ISERROR(SEARCH("On Track to be Achieved",E38)))</formula>
    </cfRule>
    <cfRule type="containsText" dxfId="710" priority="839" operator="containsText" text="Fully Achieved">
      <formula>NOT(ISERROR(SEARCH("Fully Achieved",E38)))</formula>
    </cfRule>
    <cfRule type="containsText" dxfId="709" priority="840" operator="containsText" text="Not yet due">
      <formula>NOT(ISERROR(SEARCH("Not yet due",E38)))</formula>
    </cfRule>
    <cfRule type="containsText" dxfId="708" priority="841" operator="containsText" text="Not Yet Due">
      <formula>NOT(ISERROR(SEARCH("Not Yet Due",E38)))</formula>
    </cfRule>
    <cfRule type="containsText" dxfId="707" priority="842" operator="containsText" text="Deferred">
      <formula>NOT(ISERROR(SEARCH("Deferred",E38)))</formula>
    </cfRule>
    <cfRule type="containsText" dxfId="706" priority="843" operator="containsText" text="Deleted">
      <formula>NOT(ISERROR(SEARCH("Deleted",E38)))</formula>
    </cfRule>
    <cfRule type="containsText" dxfId="705" priority="844" operator="containsText" text="In Danger of Falling Behind Target">
      <formula>NOT(ISERROR(SEARCH("In Danger of Falling Behind Target",E38)))</formula>
    </cfRule>
    <cfRule type="containsText" dxfId="704" priority="845" operator="containsText" text="Not yet due">
      <formula>NOT(ISERROR(SEARCH("Not yet due",E38)))</formula>
    </cfRule>
    <cfRule type="containsText" dxfId="703" priority="846" operator="containsText" text="Completed Behind Schedule">
      <formula>NOT(ISERROR(SEARCH("Completed Behind Schedule",E38)))</formula>
    </cfRule>
    <cfRule type="containsText" dxfId="702" priority="847" operator="containsText" text="Off Target">
      <formula>NOT(ISERROR(SEARCH("Off Target",E38)))</formula>
    </cfRule>
    <cfRule type="containsText" dxfId="701" priority="848" operator="containsText" text="In Danger of Falling Behind Target">
      <formula>NOT(ISERROR(SEARCH("In Danger of Falling Behind Target",E38)))</formula>
    </cfRule>
    <cfRule type="containsText" dxfId="700" priority="849" operator="containsText" text="On Track to be Achieved">
      <formula>NOT(ISERROR(SEARCH("On Track to be Achieved",E38)))</formula>
    </cfRule>
    <cfRule type="containsText" dxfId="699" priority="850" operator="containsText" text="Fully Achieved">
      <formula>NOT(ISERROR(SEARCH("Fully Achieved",E38)))</formula>
    </cfRule>
    <cfRule type="containsText" dxfId="698" priority="851" operator="containsText" text="Update not Provided">
      <formula>NOT(ISERROR(SEARCH("Update not Provided",E38)))</formula>
    </cfRule>
    <cfRule type="containsText" dxfId="697" priority="852" operator="containsText" text="Not yet due">
      <formula>NOT(ISERROR(SEARCH("Not yet due",E38)))</formula>
    </cfRule>
    <cfRule type="containsText" dxfId="696" priority="853" operator="containsText" text="Completed Behind Schedule">
      <formula>NOT(ISERROR(SEARCH("Completed Behind Schedule",E38)))</formula>
    </cfRule>
    <cfRule type="containsText" dxfId="695" priority="854" operator="containsText" text="Off Target">
      <formula>NOT(ISERROR(SEARCH("Off Target",E38)))</formula>
    </cfRule>
    <cfRule type="containsText" dxfId="694" priority="855" operator="containsText" text="In Danger of Falling Behind Target">
      <formula>NOT(ISERROR(SEARCH("In Danger of Falling Behind Target",E38)))</formula>
    </cfRule>
    <cfRule type="containsText" dxfId="693" priority="856" operator="containsText" text="On Track to be Achieved">
      <formula>NOT(ISERROR(SEARCH("On Track to be Achieved",E38)))</formula>
    </cfRule>
    <cfRule type="containsText" dxfId="692" priority="857" operator="containsText" text="Fully Achieved">
      <formula>NOT(ISERROR(SEARCH("Fully Achieved",E38)))</formula>
    </cfRule>
    <cfRule type="containsText" dxfId="691" priority="858" operator="containsText" text="Fully Achieved">
      <formula>NOT(ISERROR(SEARCH("Fully Achieved",E38)))</formula>
    </cfRule>
    <cfRule type="containsText" dxfId="690" priority="859" operator="containsText" text="Fully Achieved">
      <formula>NOT(ISERROR(SEARCH("Fully Achieved",E38)))</formula>
    </cfRule>
    <cfRule type="containsText" dxfId="689" priority="860" operator="containsText" text="Deferred">
      <formula>NOT(ISERROR(SEARCH("Deferred",E38)))</formula>
    </cfRule>
    <cfRule type="containsText" dxfId="688" priority="861" operator="containsText" text="Deleted">
      <formula>NOT(ISERROR(SEARCH("Deleted",E38)))</formula>
    </cfRule>
    <cfRule type="containsText" dxfId="687" priority="862" operator="containsText" text="In Danger of Falling Behind Target">
      <formula>NOT(ISERROR(SEARCH("In Danger of Falling Behind Target",E38)))</formula>
    </cfRule>
    <cfRule type="containsText" dxfId="686" priority="863" operator="containsText" text="Not yet due">
      <formula>NOT(ISERROR(SEARCH("Not yet due",E38)))</formula>
    </cfRule>
    <cfRule type="containsText" dxfId="685" priority="864" operator="containsText" text="Update not Provided">
      <formula>NOT(ISERROR(SEARCH("Update not Provided",E38)))</formula>
    </cfRule>
  </conditionalFormatting>
  <conditionalFormatting sqref="E40:E41">
    <cfRule type="containsText" dxfId="684" priority="793" operator="containsText" text="On track to be achieved">
      <formula>NOT(ISERROR(SEARCH("On track to be achieved",E40)))</formula>
    </cfRule>
    <cfRule type="containsText" dxfId="683" priority="794" operator="containsText" text="Deferred">
      <formula>NOT(ISERROR(SEARCH("Deferred",E40)))</formula>
    </cfRule>
    <cfRule type="containsText" dxfId="682" priority="795" operator="containsText" text="Deleted">
      <formula>NOT(ISERROR(SEARCH("Deleted",E40)))</formula>
    </cfRule>
    <cfRule type="containsText" dxfId="681" priority="796" operator="containsText" text="In Danger of Falling Behind Target">
      <formula>NOT(ISERROR(SEARCH("In Danger of Falling Behind Target",E40)))</formula>
    </cfRule>
    <cfRule type="containsText" dxfId="680" priority="797" operator="containsText" text="Not yet due">
      <formula>NOT(ISERROR(SEARCH("Not yet due",E40)))</formula>
    </cfRule>
    <cfRule type="containsText" dxfId="679" priority="798" operator="containsText" text="Update not Provided">
      <formula>NOT(ISERROR(SEARCH("Update not Provided",E40)))</formula>
    </cfRule>
    <cfRule type="containsText" dxfId="678" priority="799" operator="containsText" text="Not yet due">
      <formula>NOT(ISERROR(SEARCH("Not yet due",E40)))</formula>
    </cfRule>
    <cfRule type="containsText" dxfId="677" priority="800" operator="containsText" text="Completed Behind Schedule">
      <formula>NOT(ISERROR(SEARCH("Completed Behind Schedule",E40)))</formula>
    </cfRule>
    <cfRule type="containsText" dxfId="676" priority="801" operator="containsText" text="Off Target">
      <formula>NOT(ISERROR(SEARCH("Off Target",E40)))</formula>
    </cfRule>
    <cfRule type="containsText" dxfId="675" priority="802" operator="containsText" text="On Track to be Achieved">
      <formula>NOT(ISERROR(SEARCH("On Track to be Achieved",E40)))</formula>
    </cfRule>
    <cfRule type="containsText" dxfId="674" priority="803" operator="containsText" text="Fully Achieved">
      <formula>NOT(ISERROR(SEARCH("Fully Achieved",E40)))</formula>
    </cfRule>
    <cfRule type="containsText" dxfId="673" priority="804" operator="containsText" text="Not yet due">
      <formula>NOT(ISERROR(SEARCH("Not yet due",E40)))</formula>
    </cfRule>
    <cfRule type="containsText" dxfId="672" priority="805" operator="containsText" text="Not Yet Due">
      <formula>NOT(ISERROR(SEARCH("Not Yet Due",E40)))</formula>
    </cfRule>
    <cfRule type="containsText" dxfId="671" priority="806" operator="containsText" text="Deferred">
      <formula>NOT(ISERROR(SEARCH("Deferred",E40)))</formula>
    </cfRule>
    <cfRule type="containsText" dxfId="670" priority="807" operator="containsText" text="Deleted">
      <formula>NOT(ISERROR(SEARCH("Deleted",E40)))</formula>
    </cfRule>
    <cfRule type="containsText" dxfId="669" priority="808" operator="containsText" text="In Danger of Falling Behind Target">
      <formula>NOT(ISERROR(SEARCH("In Danger of Falling Behind Target",E40)))</formula>
    </cfRule>
    <cfRule type="containsText" dxfId="668" priority="809" operator="containsText" text="Not yet due">
      <formula>NOT(ISERROR(SEARCH("Not yet due",E40)))</formula>
    </cfRule>
    <cfRule type="containsText" dxfId="667" priority="810" operator="containsText" text="Completed Behind Schedule">
      <formula>NOT(ISERROR(SEARCH("Completed Behind Schedule",E40)))</formula>
    </cfRule>
    <cfRule type="containsText" dxfId="666" priority="811" operator="containsText" text="Off Target">
      <formula>NOT(ISERROR(SEARCH("Off Target",E40)))</formula>
    </cfRule>
    <cfRule type="containsText" dxfId="665" priority="812" operator="containsText" text="In Danger of Falling Behind Target">
      <formula>NOT(ISERROR(SEARCH("In Danger of Falling Behind Target",E40)))</formula>
    </cfRule>
    <cfRule type="containsText" dxfId="664" priority="813" operator="containsText" text="On Track to be Achieved">
      <formula>NOT(ISERROR(SEARCH("On Track to be Achieved",E40)))</formula>
    </cfRule>
    <cfRule type="containsText" dxfId="663" priority="814" operator="containsText" text="Fully Achieved">
      <formula>NOT(ISERROR(SEARCH("Fully Achieved",E40)))</formula>
    </cfRule>
    <cfRule type="containsText" dxfId="662" priority="815" operator="containsText" text="Update not Provided">
      <formula>NOT(ISERROR(SEARCH("Update not Provided",E40)))</formula>
    </cfRule>
    <cfRule type="containsText" dxfId="661" priority="816" operator="containsText" text="Not yet due">
      <formula>NOT(ISERROR(SEARCH("Not yet due",E40)))</formula>
    </cfRule>
    <cfRule type="containsText" dxfId="660" priority="817" operator="containsText" text="Completed Behind Schedule">
      <formula>NOT(ISERROR(SEARCH("Completed Behind Schedule",E40)))</formula>
    </cfRule>
    <cfRule type="containsText" dxfId="659" priority="818" operator="containsText" text="Off Target">
      <formula>NOT(ISERROR(SEARCH("Off Target",E40)))</formula>
    </cfRule>
    <cfRule type="containsText" dxfId="658" priority="819" operator="containsText" text="In Danger of Falling Behind Target">
      <formula>NOT(ISERROR(SEARCH("In Danger of Falling Behind Target",E40)))</formula>
    </cfRule>
    <cfRule type="containsText" dxfId="657" priority="820" operator="containsText" text="On Track to be Achieved">
      <formula>NOT(ISERROR(SEARCH("On Track to be Achieved",E40)))</formula>
    </cfRule>
    <cfRule type="containsText" dxfId="656" priority="821" operator="containsText" text="Fully Achieved">
      <formula>NOT(ISERROR(SEARCH("Fully Achieved",E40)))</formula>
    </cfRule>
    <cfRule type="containsText" dxfId="655" priority="822" operator="containsText" text="Fully Achieved">
      <formula>NOT(ISERROR(SEARCH("Fully Achieved",E40)))</formula>
    </cfRule>
    <cfRule type="containsText" dxfId="654" priority="823" operator="containsText" text="Fully Achieved">
      <formula>NOT(ISERROR(SEARCH("Fully Achieved",E40)))</formula>
    </cfRule>
    <cfRule type="containsText" dxfId="653" priority="824" operator="containsText" text="Deferred">
      <formula>NOT(ISERROR(SEARCH("Deferred",E40)))</formula>
    </cfRule>
    <cfRule type="containsText" dxfId="652" priority="825" operator="containsText" text="Deleted">
      <formula>NOT(ISERROR(SEARCH("Deleted",E40)))</formula>
    </cfRule>
    <cfRule type="containsText" dxfId="651" priority="826" operator="containsText" text="In Danger of Falling Behind Target">
      <formula>NOT(ISERROR(SEARCH("In Danger of Falling Behind Target",E40)))</formula>
    </cfRule>
    <cfRule type="containsText" dxfId="650" priority="827" operator="containsText" text="Not yet due">
      <formula>NOT(ISERROR(SEARCH("Not yet due",E40)))</formula>
    </cfRule>
    <cfRule type="containsText" dxfId="649" priority="828" operator="containsText" text="Update not Provided">
      <formula>NOT(ISERROR(SEARCH("Update not Provided",E40)))</formula>
    </cfRule>
  </conditionalFormatting>
  <conditionalFormatting sqref="E45:E46">
    <cfRule type="containsText" dxfId="648" priority="757" operator="containsText" text="On track to be achieved">
      <formula>NOT(ISERROR(SEARCH("On track to be achieved",E45)))</formula>
    </cfRule>
    <cfRule type="containsText" dxfId="647" priority="758" operator="containsText" text="Deferred">
      <formula>NOT(ISERROR(SEARCH("Deferred",E45)))</formula>
    </cfRule>
    <cfRule type="containsText" dxfId="646" priority="759" operator="containsText" text="Deleted">
      <formula>NOT(ISERROR(SEARCH("Deleted",E45)))</formula>
    </cfRule>
    <cfRule type="containsText" dxfId="645" priority="760" operator="containsText" text="In Danger of Falling Behind Target">
      <formula>NOT(ISERROR(SEARCH("In Danger of Falling Behind Target",E45)))</formula>
    </cfRule>
    <cfRule type="containsText" dxfId="644" priority="761" operator="containsText" text="Not yet due">
      <formula>NOT(ISERROR(SEARCH("Not yet due",E45)))</formula>
    </cfRule>
    <cfRule type="containsText" dxfId="643" priority="762" operator="containsText" text="Update not Provided">
      <formula>NOT(ISERROR(SEARCH("Update not Provided",E45)))</formula>
    </cfRule>
    <cfRule type="containsText" dxfId="642" priority="763" operator="containsText" text="Not yet due">
      <formula>NOT(ISERROR(SEARCH("Not yet due",E45)))</formula>
    </cfRule>
    <cfRule type="containsText" dxfId="641" priority="764" operator="containsText" text="Completed Behind Schedule">
      <formula>NOT(ISERROR(SEARCH("Completed Behind Schedule",E45)))</formula>
    </cfRule>
    <cfRule type="containsText" dxfId="640" priority="765" operator="containsText" text="Off Target">
      <formula>NOT(ISERROR(SEARCH("Off Target",E45)))</formula>
    </cfRule>
    <cfRule type="containsText" dxfId="639" priority="766" operator="containsText" text="On Track to be Achieved">
      <formula>NOT(ISERROR(SEARCH("On Track to be Achieved",E45)))</formula>
    </cfRule>
    <cfRule type="containsText" dxfId="638" priority="767" operator="containsText" text="Fully Achieved">
      <formula>NOT(ISERROR(SEARCH("Fully Achieved",E45)))</formula>
    </cfRule>
    <cfRule type="containsText" dxfId="637" priority="768" operator="containsText" text="Not yet due">
      <formula>NOT(ISERROR(SEARCH("Not yet due",E45)))</formula>
    </cfRule>
    <cfRule type="containsText" dxfId="636" priority="769" operator="containsText" text="Not Yet Due">
      <formula>NOT(ISERROR(SEARCH("Not Yet Due",E45)))</formula>
    </cfRule>
    <cfRule type="containsText" dxfId="635" priority="770" operator="containsText" text="Deferred">
      <formula>NOT(ISERROR(SEARCH("Deferred",E45)))</formula>
    </cfRule>
    <cfRule type="containsText" dxfId="634" priority="771" operator="containsText" text="Deleted">
      <formula>NOT(ISERROR(SEARCH("Deleted",E45)))</formula>
    </cfRule>
    <cfRule type="containsText" dxfId="633" priority="772" operator="containsText" text="In Danger of Falling Behind Target">
      <formula>NOT(ISERROR(SEARCH("In Danger of Falling Behind Target",E45)))</formula>
    </cfRule>
    <cfRule type="containsText" dxfId="632" priority="773" operator="containsText" text="Not yet due">
      <formula>NOT(ISERROR(SEARCH("Not yet due",E45)))</formula>
    </cfRule>
    <cfRule type="containsText" dxfId="631" priority="774" operator="containsText" text="Completed Behind Schedule">
      <formula>NOT(ISERROR(SEARCH("Completed Behind Schedule",E45)))</formula>
    </cfRule>
    <cfRule type="containsText" dxfId="630" priority="775" operator="containsText" text="Off Target">
      <formula>NOT(ISERROR(SEARCH("Off Target",E45)))</formula>
    </cfRule>
    <cfRule type="containsText" dxfId="629" priority="776" operator="containsText" text="In Danger of Falling Behind Target">
      <formula>NOT(ISERROR(SEARCH("In Danger of Falling Behind Target",E45)))</formula>
    </cfRule>
    <cfRule type="containsText" dxfId="628" priority="777" operator="containsText" text="On Track to be Achieved">
      <formula>NOT(ISERROR(SEARCH("On Track to be Achieved",E45)))</formula>
    </cfRule>
    <cfRule type="containsText" dxfId="627" priority="778" operator="containsText" text="Fully Achieved">
      <formula>NOT(ISERROR(SEARCH("Fully Achieved",E45)))</formula>
    </cfRule>
    <cfRule type="containsText" dxfId="626" priority="779" operator="containsText" text="Update not Provided">
      <formula>NOT(ISERROR(SEARCH("Update not Provided",E45)))</formula>
    </cfRule>
    <cfRule type="containsText" dxfId="625" priority="780" operator="containsText" text="Not yet due">
      <formula>NOT(ISERROR(SEARCH("Not yet due",E45)))</formula>
    </cfRule>
    <cfRule type="containsText" dxfId="624" priority="781" operator="containsText" text="Completed Behind Schedule">
      <formula>NOT(ISERROR(SEARCH("Completed Behind Schedule",E45)))</formula>
    </cfRule>
    <cfRule type="containsText" dxfId="623" priority="782" operator="containsText" text="Off Target">
      <formula>NOT(ISERROR(SEARCH("Off Target",E45)))</formula>
    </cfRule>
    <cfRule type="containsText" dxfId="622" priority="783" operator="containsText" text="In Danger of Falling Behind Target">
      <formula>NOT(ISERROR(SEARCH("In Danger of Falling Behind Target",E45)))</formula>
    </cfRule>
    <cfRule type="containsText" dxfId="621" priority="784" operator="containsText" text="On Track to be Achieved">
      <formula>NOT(ISERROR(SEARCH("On Track to be Achieved",E45)))</formula>
    </cfRule>
    <cfRule type="containsText" dxfId="620" priority="785" operator="containsText" text="Fully Achieved">
      <formula>NOT(ISERROR(SEARCH("Fully Achieved",E45)))</formula>
    </cfRule>
    <cfRule type="containsText" dxfId="619" priority="786" operator="containsText" text="Fully Achieved">
      <formula>NOT(ISERROR(SEARCH("Fully Achieved",E45)))</formula>
    </cfRule>
    <cfRule type="containsText" dxfId="618" priority="787" operator="containsText" text="Fully Achieved">
      <formula>NOT(ISERROR(SEARCH("Fully Achieved",E45)))</formula>
    </cfRule>
    <cfRule type="containsText" dxfId="617" priority="788" operator="containsText" text="Deferred">
      <formula>NOT(ISERROR(SEARCH("Deferred",E45)))</formula>
    </cfRule>
    <cfRule type="containsText" dxfId="616" priority="789" operator="containsText" text="Deleted">
      <formula>NOT(ISERROR(SEARCH("Deleted",E45)))</formula>
    </cfRule>
    <cfRule type="containsText" dxfId="615" priority="790" operator="containsText" text="In Danger of Falling Behind Target">
      <formula>NOT(ISERROR(SEARCH("In Danger of Falling Behind Target",E45)))</formula>
    </cfRule>
    <cfRule type="containsText" dxfId="614" priority="791" operator="containsText" text="Not yet due">
      <formula>NOT(ISERROR(SEARCH("Not yet due",E45)))</formula>
    </cfRule>
    <cfRule type="containsText" dxfId="613" priority="792" operator="containsText" text="Update not Provided">
      <formula>NOT(ISERROR(SEARCH("Update not Provided",E45)))</formula>
    </cfRule>
  </conditionalFormatting>
  <conditionalFormatting sqref="E47:E50">
    <cfRule type="containsText" dxfId="612" priority="721" operator="containsText" text="On track to be achieved">
      <formula>NOT(ISERROR(SEARCH("On track to be achieved",E47)))</formula>
    </cfRule>
    <cfRule type="containsText" dxfId="611" priority="722" operator="containsText" text="Deferred">
      <formula>NOT(ISERROR(SEARCH("Deferred",E47)))</formula>
    </cfRule>
    <cfRule type="containsText" dxfId="610" priority="723" operator="containsText" text="Deleted">
      <formula>NOT(ISERROR(SEARCH("Deleted",E47)))</formula>
    </cfRule>
    <cfRule type="containsText" dxfId="609" priority="724" operator="containsText" text="In Danger of Falling Behind Target">
      <formula>NOT(ISERROR(SEARCH("In Danger of Falling Behind Target",E47)))</formula>
    </cfRule>
    <cfRule type="containsText" dxfId="608" priority="725" operator="containsText" text="Not yet due">
      <formula>NOT(ISERROR(SEARCH("Not yet due",E47)))</formula>
    </cfRule>
    <cfRule type="containsText" dxfId="607" priority="726" operator="containsText" text="Update not Provided">
      <formula>NOT(ISERROR(SEARCH("Update not Provided",E47)))</formula>
    </cfRule>
    <cfRule type="containsText" dxfId="606" priority="727" operator="containsText" text="Not yet due">
      <formula>NOT(ISERROR(SEARCH("Not yet due",E47)))</formula>
    </cfRule>
    <cfRule type="containsText" dxfId="605" priority="728" operator="containsText" text="Completed Behind Schedule">
      <formula>NOT(ISERROR(SEARCH("Completed Behind Schedule",E47)))</formula>
    </cfRule>
    <cfRule type="containsText" dxfId="604" priority="729" operator="containsText" text="Off Target">
      <formula>NOT(ISERROR(SEARCH("Off Target",E47)))</formula>
    </cfRule>
    <cfRule type="containsText" dxfId="603" priority="730" operator="containsText" text="On Track to be Achieved">
      <formula>NOT(ISERROR(SEARCH("On Track to be Achieved",E47)))</formula>
    </cfRule>
    <cfRule type="containsText" dxfId="602" priority="731" operator="containsText" text="Fully Achieved">
      <formula>NOT(ISERROR(SEARCH("Fully Achieved",E47)))</formula>
    </cfRule>
    <cfRule type="containsText" dxfId="601" priority="732" operator="containsText" text="Not yet due">
      <formula>NOT(ISERROR(SEARCH("Not yet due",E47)))</formula>
    </cfRule>
    <cfRule type="containsText" dxfId="600" priority="733" operator="containsText" text="Not Yet Due">
      <formula>NOT(ISERROR(SEARCH("Not Yet Due",E47)))</formula>
    </cfRule>
    <cfRule type="containsText" dxfId="599" priority="734" operator="containsText" text="Deferred">
      <formula>NOT(ISERROR(SEARCH("Deferred",E47)))</formula>
    </cfRule>
    <cfRule type="containsText" dxfId="598" priority="735" operator="containsText" text="Deleted">
      <formula>NOT(ISERROR(SEARCH("Deleted",E47)))</formula>
    </cfRule>
    <cfRule type="containsText" dxfId="597" priority="736" operator="containsText" text="In Danger of Falling Behind Target">
      <formula>NOT(ISERROR(SEARCH("In Danger of Falling Behind Target",E47)))</formula>
    </cfRule>
    <cfRule type="containsText" dxfId="596" priority="737" operator="containsText" text="Not yet due">
      <formula>NOT(ISERROR(SEARCH("Not yet due",E47)))</formula>
    </cfRule>
    <cfRule type="containsText" dxfId="595" priority="738" operator="containsText" text="Completed Behind Schedule">
      <formula>NOT(ISERROR(SEARCH("Completed Behind Schedule",E47)))</formula>
    </cfRule>
    <cfRule type="containsText" dxfId="594" priority="739" operator="containsText" text="Off Target">
      <formula>NOT(ISERROR(SEARCH("Off Target",E47)))</formula>
    </cfRule>
    <cfRule type="containsText" dxfId="593" priority="740" operator="containsText" text="In Danger of Falling Behind Target">
      <formula>NOT(ISERROR(SEARCH("In Danger of Falling Behind Target",E47)))</formula>
    </cfRule>
    <cfRule type="containsText" dxfId="592" priority="741" operator="containsText" text="On Track to be Achieved">
      <formula>NOT(ISERROR(SEARCH("On Track to be Achieved",E47)))</formula>
    </cfRule>
    <cfRule type="containsText" dxfId="591" priority="742" operator="containsText" text="Fully Achieved">
      <formula>NOT(ISERROR(SEARCH("Fully Achieved",E47)))</formula>
    </cfRule>
    <cfRule type="containsText" dxfId="590" priority="743" operator="containsText" text="Update not Provided">
      <formula>NOT(ISERROR(SEARCH("Update not Provided",E47)))</formula>
    </cfRule>
    <cfRule type="containsText" dxfId="589" priority="744" operator="containsText" text="Not yet due">
      <formula>NOT(ISERROR(SEARCH("Not yet due",E47)))</formula>
    </cfRule>
    <cfRule type="containsText" dxfId="588" priority="745" operator="containsText" text="Completed Behind Schedule">
      <formula>NOT(ISERROR(SEARCH("Completed Behind Schedule",E47)))</formula>
    </cfRule>
    <cfRule type="containsText" dxfId="587" priority="746" operator="containsText" text="Off Target">
      <formula>NOT(ISERROR(SEARCH("Off Target",E47)))</formula>
    </cfRule>
    <cfRule type="containsText" dxfId="586" priority="747" operator="containsText" text="In Danger of Falling Behind Target">
      <formula>NOT(ISERROR(SEARCH("In Danger of Falling Behind Target",E47)))</formula>
    </cfRule>
    <cfRule type="containsText" dxfId="585" priority="748" operator="containsText" text="On Track to be Achieved">
      <formula>NOT(ISERROR(SEARCH("On Track to be Achieved",E47)))</formula>
    </cfRule>
    <cfRule type="containsText" dxfId="584" priority="749" operator="containsText" text="Fully Achieved">
      <formula>NOT(ISERROR(SEARCH("Fully Achieved",E47)))</formula>
    </cfRule>
    <cfRule type="containsText" dxfId="583" priority="750" operator="containsText" text="Fully Achieved">
      <formula>NOT(ISERROR(SEARCH("Fully Achieved",E47)))</formula>
    </cfRule>
    <cfRule type="containsText" dxfId="582" priority="751" operator="containsText" text="Fully Achieved">
      <formula>NOT(ISERROR(SEARCH("Fully Achieved",E47)))</formula>
    </cfRule>
    <cfRule type="containsText" dxfId="581" priority="752" operator="containsText" text="Deferred">
      <formula>NOT(ISERROR(SEARCH("Deferred",E47)))</formula>
    </cfRule>
    <cfRule type="containsText" dxfId="580" priority="753" operator="containsText" text="Deleted">
      <formula>NOT(ISERROR(SEARCH("Deleted",E47)))</formula>
    </cfRule>
    <cfRule type="containsText" dxfId="579" priority="754" operator="containsText" text="In Danger of Falling Behind Target">
      <formula>NOT(ISERROR(SEARCH("In Danger of Falling Behind Target",E47)))</formula>
    </cfRule>
    <cfRule type="containsText" dxfId="578" priority="755" operator="containsText" text="Not yet due">
      <formula>NOT(ISERROR(SEARCH("Not yet due",E47)))</formula>
    </cfRule>
    <cfRule type="containsText" dxfId="577" priority="756" operator="containsText" text="Update not Provided">
      <formula>NOT(ISERROR(SEARCH("Update not Provided",E47)))</formula>
    </cfRule>
  </conditionalFormatting>
  <conditionalFormatting sqref="E53">
    <cfRule type="containsText" dxfId="576" priority="685" operator="containsText" text="On track to be achieved">
      <formula>NOT(ISERROR(SEARCH("On track to be achieved",E53)))</formula>
    </cfRule>
    <cfRule type="containsText" dxfId="575" priority="686" operator="containsText" text="Deferred">
      <formula>NOT(ISERROR(SEARCH("Deferred",E53)))</formula>
    </cfRule>
    <cfRule type="containsText" dxfId="574" priority="687" operator="containsText" text="Deleted">
      <formula>NOT(ISERROR(SEARCH("Deleted",E53)))</formula>
    </cfRule>
    <cfRule type="containsText" dxfId="573" priority="688" operator="containsText" text="In Danger of Falling Behind Target">
      <formula>NOT(ISERROR(SEARCH("In Danger of Falling Behind Target",E53)))</formula>
    </cfRule>
    <cfRule type="containsText" dxfId="572" priority="689" operator="containsText" text="Not yet due">
      <formula>NOT(ISERROR(SEARCH("Not yet due",E53)))</formula>
    </cfRule>
    <cfRule type="containsText" dxfId="571" priority="690" operator="containsText" text="Update not Provided">
      <formula>NOT(ISERROR(SEARCH("Update not Provided",E53)))</formula>
    </cfRule>
    <cfRule type="containsText" dxfId="570" priority="691" operator="containsText" text="Not yet due">
      <formula>NOT(ISERROR(SEARCH("Not yet due",E53)))</formula>
    </cfRule>
    <cfRule type="containsText" dxfId="569" priority="692" operator="containsText" text="Completed Behind Schedule">
      <formula>NOT(ISERROR(SEARCH("Completed Behind Schedule",E53)))</formula>
    </cfRule>
    <cfRule type="containsText" dxfId="568" priority="693" operator="containsText" text="Off Target">
      <formula>NOT(ISERROR(SEARCH("Off Target",E53)))</formula>
    </cfRule>
    <cfRule type="containsText" dxfId="567" priority="694" operator="containsText" text="On Track to be Achieved">
      <formula>NOT(ISERROR(SEARCH("On Track to be Achieved",E53)))</formula>
    </cfRule>
    <cfRule type="containsText" dxfId="566" priority="695" operator="containsText" text="Fully Achieved">
      <formula>NOT(ISERROR(SEARCH("Fully Achieved",E53)))</formula>
    </cfRule>
    <cfRule type="containsText" dxfId="565" priority="696" operator="containsText" text="Not yet due">
      <formula>NOT(ISERROR(SEARCH("Not yet due",E53)))</formula>
    </cfRule>
    <cfRule type="containsText" dxfId="564" priority="697" operator="containsText" text="Not Yet Due">
      <formula>NOT(ISERROR(SEARCH("Not Yet Due",E53)))</formula>
    </cfRule>
    <cfRule type="containsText" dxfId="563" priority="698" operator="containsText" text="Deferred">
      <formula>NOT(ISERROR(SEARCH("Deferred",E53)))</formula>
    </cfRule>
    <cfRule type="containsText" dxfId="562" priority="699" operator="containsText" text="Deleted">
      <formula>NOT(ISERROR(SEARCH("Deleted",E53)))</formula>
    </cfRule>
    <cfRule type="containsText" dxfId="561" priority="700" operator="containsText" text="In Danger of Falling Behind Target">
      <formula>NOT(ISERROR(SEARCH("In Danger of Falling Behind Target",E53)))</formula>
    </cfRule>
    <cfRule type="containsText" dxfId="560" priority="701" operator="containsText" text="Not yet due">
      <formula>NOT(ISERROR(SEARCH("Not yet due",E53)))</formula>
    </cfRule>
    <cfRule type="containsText" dxfId="559" priority="702" operator="containsText" text="Completed Behind Schedule">
      <formula>NOT(ISERROR(SEARCH("Completed Behind Schedule",E53)))</formula>
    </cfRule>
    <cfRule type="containsText" dxfId="558" priority="703" operator="containsText" text="Off Target">
      <formula>NOT(ISERROR(SEARCH("Off Target",E53)))</formula>
    </cfRule>
    <cfRule type="containsText" dxfId="557" priority="704" operator="containsText" text="In Danger of Falling Behind Target">
      <formula>NOT(ISERROR(SEARCH("In Danger of Falling Behind Target",E53)))</formula>
    </cfRule>
    <cfRule type="containsText" dxfId="556" priority="705" operator="containsText" text="On Track to be Achieved">
      <formula>NOT(ISERROR(SEARCH("On Track to be Achieved",E53)))</formula>
    </cfRule>
    <cfRule type="containsText" dxfId="555" priority="706" operator="containsText" text="Fully Achieved">
      <formula>NOT(ISERROR(SEARCH("Fully Achieved",E53)))</formula>
    </cfRule>
    <cfRule type="containsText" dxfId="554" priority="707" operator="containsText" text="Update not Provided">
      <formula>NOT(ISERROR(SEARCH("Update not Provided",E53)))</formula>
    </cfRule>
    <cfRule type="containsText" dxfId="553" priority="708" operator="containsText" text="Not yet due">
      <formula>NOT(ISERROR(SEARCH("Not yet due",E53)))</formula>
    </cfRule>
    <cfRule type="containsText" dxfId="552" priority="709" operator="containsText" text="Completed Behind Schedule">
      <formula>NOT(ISERROR(SEARCH("Completed Behind Schedule",E53)))</formula>
    </cfRule>
    <cfRule type="containsText" dxfId="551" priority="710" operator="containsText" text="Off Target">
      <formula>NOT(ISERROR(SEARCH("Off Target",E53)))</formula>
    </cfRule>
    <cfRule type="containsText" dxfId="550" priority="711" operator="containsText" text="In Danger of Falling Behind Target">
      <formula>NOT(ISERROR(SEARCH("In Danger of Falling Behind Target",E53)))</formula>
    </cfRule>
    <cfRule type="containsText" dxfId="549" priority="712" operator="containsText" text="On Track to be Achieved">
      <formula>NOT(ISERROR(SEARCH("On Track to be Achieved",E53)))</formula>
    </cfRule>
    <cfRule type="containsText" dxfId="548" priority="713" operator="containsText" text="Fully Achieved">
      <formula>NOT(ISERROR(SEARCH("Fully Achieved",E53)))</formula>
    </cfRule>
    <cfRule type="containsText" dxfId="547" priority="714" operator="containsText" text="Fully Achieved">
      <formula>NOT(ISERROR(SEARCH("Fully Achieved",E53)))</formula>
    </cfRule>
    <cfRule type="containsText" dxfId="546" priority="715" operator="containsText" text="Fully Achieved">
      <formula>NOT(ISERROR(SEARCH("Fully Achieved",E53)))</formula>
    </cfRule>
    <cfRule type="containsText" dxfId="545" priority="716" operator="containsText" text="Deferred">
      <formula>NOT(ISERROR(SEARCH("Deferred",E53)))</formula>
    </cfRule>
    <cfRule type="containsText" dxfId="544" priority="717" operator="containsText" text="Deleted">
      <formula>NOT(ISERROR(SEARCH("Deleted",E53)))</formula>
    </cfRule>
    <cfRule type="containsText" dxfId="543" priority="718" operator="containsText" text="In Danger of Falling Behind Target">
      <formula>NOT(ISERROR(SEARCH("In Danger of Falling Behind Target",E53)))</formula>
    </cfRule>
    <cfRule type="containsText" dxfId="542" priority="719" operator="containsText" text="Not yet due">
      <formula>NOT(ISERROR(SEARCH("Not yet due",E53)))</formula>
    </cfRule>
    <cfRule type="containsText" dxfId="541" priority="720" operator="containsText" text="Update not Provided">
      <formula>NOT(ISERROR(SEARCH("Update not Provided",E53)))</formula>
    </cfRule>
  </conditionalFormatting>
  <conditionalFormatting sqref="E55:E56">
    <cfRule type="containsText" dxfId="540" priority="649" operator="containsText" text="On track to be achieved">
      <formula>NOT(ISERROR(SEARCH("On track to be achieved",E55)))</formula>
    </cfRule>
    <cfRule type="containsText" dxfId="539" priority="650" operator="containsText" text="Deferred">
      <formula>NOT(ISERROR(SEARCH("Deferred",E55)))</formula>
    </cfRule>
    <cfRule type="containsText" dxfId="538" priority="651" operator="containsText" text="Deleted">
      <formula>NOT(ISERROR(SEARCH("Deleted",E55)))</formula>
    </cfRule>
    <cfRule type="containsText" dxfId="537" priority="652" operator="containsText" text="In Danger of Falling Behind Target">
      <formula>NOT(ISERROR(SEARCH("In Danger of Falling Behind Target",E55)))</formula>
    </cfRule>
    <cfRule type="containsText" dxfId="536" priority="653" operator="containsText" text="Not yet due">
      <formula>NOT(ISERROR(SEARCH("Not yet due",E55)))</formula>
    </cfRule>
    <cfRule type="containsText" dxfId="535" priority="654" operator="containsText" text="Update not Provided">
      <formula>NOT(ISERROR(SEARCH("Update not Provided",E55)))</formula>
    </cfRule>
    <cfRule type="containsText" dxfId="534" priority="655" operator="containsText" text="Not yet due">
      <formula>NOT(ISERROR(SEARCH("Not yet due",E55)))</formula>
    </cfRule>
    <cfRule type="containsText" dxfId="533" priority="656" operator="containsText" text="Completed Behind Schedule">
      <formula>NOT(ISERROR(SEARCH("Completed Behind Schedule",E55)))</formula>
    </cfRule>
    <cfRule type="containsText" dxfId="532" priority="657" operator="containsText" text="Off Target">
      <formula>NOT(ISERROR(SEARCH("Off Target",E55)))</formula>
    </cfRule>
    <cfRule type="containsText" dxfId="531" priority="658" operator="containsText" text="On Track to be Achieved">
      <formula>NOT(ISERROR(SEARCH("On Track to be Achieved",E55)))</formula>
    </cfRule>
    <cfRule type="containsText" dxfId="530" priority="659" operator="containsText" text="Fully Achieved">
      <formula>NOT(ISERROR(SEARCH("Fully Achieved",E55)))</formula>
    </cfRule>
    <cfRule type="containsText" dxfId="529" priority="660" operator="containsText" text="Not yet due">
      <formula>NOT(ISERROR(SEARCH("Not yet due",E55)))</formula>
    </cfRule>
    <cfRule type="containsText" dxfId="528" priority="661" operator="containsText" text="Not Yet Due">
      <formula>NOT(ISERROR(SEARCH("Not Yet Due",E55)))</formula>
    </cfRule>
    <cfRule type="containsText" dxfId="527" priority="662" operator="containsText" text="Deferred">
      <formula>NOT(ISERROR(SEARCH("Deferred",E55)))</formula>
    </cfRule>
    <cfRule type="containsText" dxfId="526" priority="663" operator="containsText" text="Deleted">
      <formula>NOT(ISERROR(SEARCH("Deleted",E55)))</formula>
    </cfRule>
    <cfRule type="containsText" dxfId="525" priority="664" operator="containsText" text="In Danger of Falling Behind Target">
      <formula>NOT(ISERROR(SEARCH("In Danger of Falling Behind Target",E55)))</formula>
    </cfRule>
    <cfRule type="containsText" dxfId="524" priority="665" operator="containsText" text="Not yet due">
      <formula>NOT(ISERROR(SEARCH("Not yet due",E55)))</formula>
    </cfRule>
    <cfRule type="containsText" dxfId="523" priority="666" operator="containsText" text="Completed Behind Schedule">
      <formula>NOT(ISERROR(SEARCH("Completed Behind Schedule",E55)))</formula>
    </cfRule>
    <cfRule type="containsText" dxfId="522" priority="667" operator="containsText" text="Off Target">
      <formula>NOT(ISERROR(SEARCH("Off Target",E55)))</formula>
    </cfRule>
    <cfRule type="containsText" dxfId="521" priority="668" operator="containsText" text="In Danger of Falling Behind Target">
      <formula>NOT(ISERROR(SEARCH("In Danger of Falling Behind Target",E55)))</formula>
    </cfRule>
    <cfRule type="containsText" dxfId="520" priority="669" operator="containsText" text="On Track to be Achieved">
      <formula>NOT(ISERROR(SEARCH("On Track to be Achieved",E55)))</formula>
    </cfRule>
    <cfRule type="containsText" dxfId="519" priority="670" operator="containsText" text="Fully Achieved">
      <formula>NOT(ISERROR(SEARCH("Fully Achieved",E55)))</formula>
    </cfRule>
    <cfRule type="containsText" dxfId="518" priority="671" operator="containsText" text="Update not Provided">
      <formula>NOT(ISERROR(SEARCH("Update not Provided",E55)))</formula>
    </cfRule>
    <cfRule type="containsText" dxfId="517" priority="672" operator="containsText" text="Not yet due">
      <formula>NOT(ISERROR(SEARCH("Not yet due",E55)))</formula>
    </cfRule>
    <cfRule type="containsText" dxfId="516" priority="673" operator="containsText" text="Completed Behind Schedule">
      <formula>NOT(ISERROR(SEARCH("Completed Behind Schedule",E55)))</formula>
    </cfRule>
    <cfRule type="containsText" dxfId="515" priority="674" operator="containsText" text="Off Target">
      <formula>NOT(ISERROR(SEARCH("Off Target",E55)))</formula>
    </cfRule>
    <cfRule type="containsText" dxfId="514" priority="675" operator="containsText" text="In Danger of Falling Behind Target">
      <formula>NOT(ISERROR(SEARCH("In Danger of Falling Behind Target",E55)))</formula>
    </cfRule>
    <cfRule type="containsText" dxfId="513" priority="676" operator="containsText" text="On Track to be Achieved">
      <formula>NOT(ISERROR(SEARCH("On Track to be Achieved",E55)))</formula>
    </cfRule>
    <cfRule type="containsText" dxfId="512" priority="677" operator="containsText" text="Fully Achieved">
      <formula>NOT(ISERROR(SEARCH("Fully Achieved",E55)))</formula>
    </cfRule>
    <cfRule type="containsText" dxfId="511" priority="678" operator="containsText" text="Fully Achieved">
      <formula>NOT(ISERROR(SEARCH("Fully Achieved",E55)))</formula>
    </cfRule>
    <cfRule type="containsText" dxfId="510" priority="679" operator="containsText" text="Fully Achieved">
      <formula>NOT(ISERROR(SEARCH("Fully Achieved",E55)))</formula>
    </cfRule>
    <cfRule type="containsText" dxfId="509" priority="680" operator="containsText" text="Deferred">
      <formula>NOT(ISERROR(SEARCH("Deferred",E55)))</formula>
    </cfRule>
    <cfRule type="containsText" dxfId="508" priority="681" operator="containsText" text="Deleted">
      <formula>NOT(ISERROR(SEARCH("Deleted",E55)))</formula>
    </cfRule>
    <cfRule type="containsText" dxfId="507" priority="682" operator="containsText" text="In Danger of Falling Behind Target">
      <formula>NOT(ISERROR(SEARCH("In Danger of Falling Behind Target",E55)))</formula>
    </cfRule>
    <cfRule type="containsText" dxfId="506" priority="683" operator="containsText" text="Not yet due">
      <formula>NOT(ISERROR(SEARCH("Not yet due",E55)))</formula>
    </cfRule>
    <cfRule type="containsText" dxfId="505" priority="684" operator="containsText" text="Update not Provided">
      <formula>NOT(ISERROR(SEARCH("Update not Provided",E55)))</formula>
    </cfRule>
  </conditionalFormatting>
  <conditionalFormatting sqref="E58">
    <cfRule type="containsText" dxfId="504" priority="613" operator="containsText" text="On track to be achieved">
      <formula>NOT(ISERROR(SEARCH("On track to be achieved",E58)))</formula>
    </cfRule>
    <cfRule type="containsText" dxfId="503" priority="614" operator="containsText" text="Deferred">
      <formula>NOT(ISERROR(SEARCH("Deferred",E58)))</formula>
    </cfRule>
    <cfRule type="containsText" dxfId="502" priority="615" operator="containsText" text="Deleted">
      <formula>NOT(ISERROR(SEARCH("Deleted",E58)))</formula>
    </cfRule>
    <cfRule type="containsText" dxfId="501" priority="616" operator="containsText" text="In Danger of Falling Behind Target">
      <formula>NOT(ISERROR(SEARCH("In Danger of Falling Behind Target",E58)))</formula>
    </cfRule>
    <cfRule type="containsText" dxfId="500" priority="617" operator="containsText" text="Not yet due">
      <formula>NOT(ISERROR(SEARCH("Not yet due",E58)))</formula>
    </cfRule>
    <cfRule type="containsText" dxfId="499" priority="618" operator="containsText" text="Update not Provided">
      <formula>NOT(ISERROR(SEARCH("Update not Provided",E58)))</formula>
    </cfRule>
    <cfRule type="containsText" dxfId="498" priority="619" operator="containsText" text="Not yet due">
      <formula>NOT(ISERROR(SEARCH("Not yet due",E58)))</formula>
    </cfRule>
    <cfRule type="containsText" dxfId="497" priority="620" operator="containsText" text="Completed Behind Schedule">
      <formula>NOT(ISERROR(SEARCH("Completed Behind Schedule",E58)))</formula>
    </cfRule>
    <cfRule type="containsText" dxfId="496" priority="621" operator="containsText" text="Off Target">
      <formula>NOT(ISERROR(SEARCH("Off Target",E58)))</formula>
    </cfRule>
    <cfRule type="containsText" dxfId="495" priority="622" operator="containsText" text="On Track to be Achieved">
      <formula>NOT(ISERROR(SEARCH("On Track to be Achieved",E58)))</formula>
    </cfRule>
    <cfRule type="containsText" dxfId="494" priority="623" operator="containsText" text="Fully Achieved">
      <formula>NOT(ISERROR(SEARCH("Fully Achieved",E58)))</formula>
    </cfRule>
    <cfRule type="containsText" dxfId="493" priority="624" operator="containsText" text="Not yet due">
      <formula>NOT(ISERROR(SEARCH("Not yet due",E58)))</formula>
    </cfRule>
    <cfRule type="containsText" dxfId="492" priority="625" operator="containsText" text="Not Yet Due">
      <formula>NOT(ISERROR(SEARCH("Not Yet Due",E58)))</formula>
    </cfRule>
    <cfRule type="containsText" dxfId="491" priority="626" operator="containsText" text="Deferred">
      <formula>NOT(ISERROR(SEARCH("Deferred",E58)))</formula>
    </cfRule>
    <cfRule type="containsText" dxfId="490" priority="627" operator="containsText" text="Deleted">
      <formula>NOT(ISERROR(SEARCH("Deleted",E58)))</formula>
    </cfRule>
    <cfRule type="containsText" dxfId="489" priority="628" operator="containsText" text="In Danger of Falling Behind Target">
      <formula>NOT(ISERROR(SEARCH("In Danger of Falling Behind Target",E58)))</formula>
    </cfRule>
    <cfRule type="containsText" dxfId="488" priority="629" operator="containsText" text="Not yet due">
      <formula>NOT(ISERROR(SEARCH("Not yet due",E58)))</formula>
    </cfRule>
    <cfRule type="containsText" dxfId="487" priority="630" operator="containsText" text="Completed Behind Schedule">
      <formula>NOT(ISERROR(SEARCH("Completed Behind Schedule",E58)))</formula>
    </cfRule>
    <cfRule type="containsText" dxfId="486" priority="631" operator="containsText" text="Off Target">
      <formula>NOT(ISERROR(SEARCH("Off Target",E58)))</formula>
    </cfRule>
    <cfRule type="containsText" dxfId="485" priority="632" operator="containsText" text="In Danger of Falling Behind Target">
      <formula>NOT(ISERROR(SEARCH("In Danger of Falling Behind Target",E58)))</formula>
    </cfRule>
    <cfRule type="containsText" dxfId="484" priority="633" operator="containsText" text="On Track to be Achieved">
      <formula>NOT(ISERROR(SEARCH("On Track to be Achieved",E58)))</formula>
    </cfRule>
    <cfRule type="containsText" dxfId="483" priority="634" operator="containsText" text="Fully Achieved">
      <formula>NOT(ISERROR(SEARCH("Fully Achieved",E58)))</formula>
    </cfRule>
    <cfRule type="containsText" dxfId="482" priority="635" operator="containsText" text="Update not Provided">
      <formula>NOT(ISERROR(SEARCH("Update not Provided",E58)))</formula>
    </cfRule>
    <cfRule type="containsText" dxfId="481" priority="636" operator="containsText" text="Not yet due">
      <formula>NOT(ISERROR(SEARCH("Not yet due",E58)))</formula>
    </cfRule>
    <cfRule type="containsText" dxfId="480" priority="637" operator="containsText" text="Completed Behind Schedule">
      <formula>NOT(ISERROR(SEARCH("Completed Behind Schedule",E58)))</formula>
    </cfRule>
    <cfRule type="containsText" dxfId="479" priority="638" operator="containsText" text="Off Target">
      <formula>NOT(ISERROR(SEARCH("Off Target",E58)))</formula>
    </cfRule>
    <cfRule type="containsText" dxfId="478" priority="639" operator="containsText" text="In Danger of Falling Behind Target">
      <formula>NOT(ISERROR(SEARCH("In Danger of Falling Behind Target",E58)))</formula>
    </cfRule>
    <cfRule type="containsText" dxfId="477" priority="640" operator="containsText" text="On Track to be Achieved">
      <formula>NOT(ISERROR(SEARCH("On Track to be Achieved",E58)))</formula>
    </cfRule>
    <cfRule type="containsText" dxfId="476" priority="641" operator="containsText" text="Fully Achieved">
      <formula>NOT(ISERROR(SEARCH("Fully Achieved",E58)))</formula>
    </cfRule>
    <cfRule type="containsText" dxfId="475" priority="642" operator="containsText" text="Fully Achieved">
      <formula>NOT(ISERROR(SEARCH("Fully Achieved",E58)))</formula>
    </cfRule>
    <cfRule type="containsText" dxfId="474" priority="643" operator="containsText" text="Fully Achieved">
      <formula>NOT(ISERROR(SEARCH("Fully Achieved",E58)))</formula>
    </cfRule>
    <cfRule type="containsText" dxfId="473" priority="644" operator="containsText" text="Deferred">
      <formula>NOT(ISERROR(SEARCH("Deferred",E58)))</formula>
    </cfRule>
    <cfRule type="containsText" dxfId="472" priority="645" operator="containsText" text="Deleted">
      <formula>NOT(ISERROR(SEARCH("Deleted",E58)))</formula>
    </cfRule>
    <cfRule type="containsText" dxfId="471" priority="646" operator="containsText" text="In Danger of Falling Behind Target">
      <formula>NOT(ISERROR(SEARCH("In Danger of Falling Behind Target",E58)))</formula>
    </cfRule>
    <cfRule type="containsText" dxfId="470" priority="647" operator="containsText" text="Not yet due">
      <formula>NOT(ISERROR(SEARCH("Not yet due",E58)))</formula>
    </cfRule>
    <cfRule type="containsText" dxfId="469" priority="648" operator="containsText" text="Update not Provided">
      <formula>NOT(ISERROR(SEARCH("Update not Provided",E58)))</formula>
    </cfRule>
  </conditionalFormatting>
  <conditionalFormatting sqref="E60">
    <cfRule type="containsText" dxfId="468" priority="577" operator="containsText" text="On track to be achieved">
      <formula>NOT(ISERROR(SEARCH("On track to be achieved",E60)))</formula>
    </cfRule>
    <cfRule type="containsText" dxfId="467" priority="578" operator="containsText" text="Deferred">
      <formula>NOT(ISERROR(SEARCH("Deferred",E60)))</formula>
    </cfRule>
    <cfRule type="containsText" dxfId="466" priority="579" operator="containsText" text="Deleted">
      <formula>NOT(ISERROR(SEARCH("Deleted",E60)))</formula>
    </cfRule>
    <cfRule type="containsText" dxfId="465" priority="580" operator="containsText" text="In Danger of Falling Behind Target">
      <formula>NOT(ISERROR(SEARCH("In Danger of Falling Behind Target",E60)))</formula>
    </cfRule>
    <cfRule type="containsText" dxfId="464" priority="581" operator="containsText" text="Not yet due">
      <formula>NOT(ISERROR(SEARCH("Not yet due",E60)))</formula>
    </cfRule>
    <cfRule type="containsText" dxfId="463" priority="582" operator="containsText" text="Update not Provided">
      <formula>NOT(ISERROR(SEARCH("Update not Provided",E60)))</formula>
    </cfRule>
    <cfRule type="containsText" dxfId="462" priority="583" operator="containsText" text="Not yet due">
      <formula>NOT(ISERROR(SEARCH("Not yet due",E60)))</formula>
    </cfRule>
    <cfRule type="containsText" dxfId="461" priority="584" operator="containsText" text="Completed Behind Schedule">
      <formula>NOT(ISERROR(SEARCH("Completed Behind Schedule",E60)))</formula>
    </cfRule>
    <cfRule type="containsText" dxfId="460" priority="585" operator="containsText" text="Off Target">
      <formula>NOT(ISERROR(SEARCH("Off Target",E60)))</formula>
    </cfRule>
    <cfRule type="containsText" dxfId="459" priority="586" operator="containsText" text="On Track to be Achieved">
      <formula>NOT(ISERROR(SEARCH("On Track to be Achieved",E60)))</formula>
    </cfRule>
    <cfRule type="containsText" dxfId="458" priority="587" operator="containsText" text="Fully Achieved">
      <formula>NOT(ISERROR(SEARCH("Fully Achieved",E60)))</formula>
    </cfRule>
    <cfRule type="containsText" dxfId="457" priority="588" operator="containsText" text="Not yet due">
      <formula>NOT(ISERROR(SEARCH("Not yet due",E60)))</formula>
    </cfRule>
    <cfRule type="containsText" dxfId="456" priority="589" operator="containsText" text="Not Yet Due">
      <formula>NOT(ISERROR(SEARCH("Not Yet Due",E60)))</formula>
    </cfRule>
    <cfRule type="containsText" dxfId="455" priority="590" operator="containsText" text="Deferred">
      <formula>NOT(ISERROR(SEARCH("Deferred",E60)))</formula>
    </cfRule>
    <cfRule type="containsText" dxfId="454" priority="591" operator="containsText" text="Deleted">
      <formula>NOT(ISERROR(SEARCH("Deleted",E60)))</formula>
    </cfRule>
    <cfRule type="containsText" dxfId="453" priority="592" operator="containsText" text="In Danger of Falling Behind Target">
      <formula>NOT(ISERROR(SEARCH("In Danger of Falling Behind Target",E60)))</formula>
    </cfRule>
    <cfRule type="containsText" dxfId="452" priority="593" operator="containsText" text="Not yet due">
      <formula>NOT(ISERROR(SEARCH("Not yet due",E60)))</formula>
    </cfRule>
    <cfRule type="containsText" dxfId="451" priority="594" operator="containsText" text="Completed Behind Schedule">
      <formula>NOT(ISERROR(SEARCH("Completed Behind Schedule",E60)))</formula>
    </cfRule>
    <cfRule type="containsText" dxfId="450" priority="595" operator="containsText" text="Off Target">
      <formula>NOT(ISERROR(SEARCH("Off Target",E60)))</formula>
    </cfRule>
    <cfRule type="containsText" dxfId="449" priority="596" operator="containsText" text="In Danger of Falling Behind Target">
      <formula>NOT(ISERROR(SEARCH("In Danger of Falling Behind Target",E60)))</formula>
    </cfRule>
    <cfRule type="containsText" dxfId="448" priority="597" operator="containsText" text="On Track to be Achieved">
      <formula>NOT(ISERROR(SEARCH("On Track to be Achieved",E60)))</formula>
    </cfRule>
    <cfRule type="containsText" dxfId="447" priority="598" operator="containsText" text="Fully Achieved">
      <formula>NOT(ISERROR(SEARCH("Fully Achieved",E60)))</formula>
    </cfRule>
    <cfRule type="containsText" dxfId="446" priority="599" operator="containsText" text="Update not Provided">
      <formula>NOT(ISERROR(SEARCH("Update not Provided",E60)))</formula>
    </cfRule>
    <cfRule type="containsText" dxfId="445" priority="600" operator="containsText" text="Not yet due">
      <formula>NOT(ISERROR(SEARCH("Not yet due",E60)))</formula>
    </cfRule>
    <cfRule type="containsText" dxfId="444" priority="601" operator="containsText" text="Completed Behind Schedule">
      <formula>NOT(ISERROR(SEARCH("Completed Behind Schedule",E60)))</formula>
    </cfRule>
    <cfRule type="containsText" dxfId="443" priority="602" operator="containsText" text="Off Target">
      <formula>NOT(ISERROR(SEARCH("Off Target",E60)))</formula>
    </cfRule>
    <cfRule type="containsText" dxfId="442" priority="603" operator="containsText" text="In Danger of Falling Behind Target">
      <formula>NOT(ISERROR(SEARCH("In Danger of Falling Behind Target",E60)))</formula>
    </cfRule>
    <cfRule type="containsText" dxfId="441" priority="604" operator="containsText" text="On Track to be Achieved">
      <formula>NOT(ISERROR(SEARCH("On Track to be Achieved",E60)))</formula>
    </cfRule>
    <cfRule type="containsText" dxfId="440" priority="605" operator="containsText" text="Fully Achieved">
      <formula>NOT(ISERROR(SEARCH("Fully Achieved",E60)))</formula>
    </cfRule>
    <cfRule type="containsText" dxfId="439" priority="606" operator="containsText" text="Fully Achieved">
      <formula>NOT(ISERROR(SEARCH("Fully Achieved",E60)))</formula>
    </cfRule>
    <cfRule type="containsText" dxfId="438" priority="607" operator="containsText" text="Fully Achieved">
      <formula>NOT(ISERROR(SEARCH("Fully Achieved",E60)))</formula>
    </cfRule>
    <cfRule type="containsText" dxfId="437" priority="608" operator="containsText" text="Deferred">
      <formula>NOT(ISERROR(SEARCH("Deferred",E60)))</formula>
    </cfRule>
    <cfRule type="containsText" dxfId="436" priority="609" operator="containsText" text="Deleted">
      <formula>NOT(ISERROR(SEARCH("Deleted",E60)))</formula>
    </cfRule>
    <cfRule type="containsText" dxfId="435" priority="610" operator="containsText" text="In Danger of Falling Behind Target">
      <formula>NOT(ISERROR(SEARCH("In Danger of Falling Behind Target",E60)))</formula>
    </cfRule>
    <cfRule type="containsText" dxfId="434" priority="611" operator="containsText" text="Not yet due">
      <formula>NOT(ISERROR(SEARCH("Not yet due",E60)))</formula>
    </cfRule>
    <cfRule type="containsText" dxfId="433" priority="612" operator="containsText" text="Update not Provided">
      <formula>NOT(ISERROR(SEARCH("Update not Provided",E60)))</formula>
    </cfRule>
  </conditionalFormatting>
  <conditionalFormatting sqref="E62:E71">
    <cfRule type="containsText" dxfId="432" priority="541" operator="containsText" text="On track to be achieved">
      <formula>NOT(ISERROR(SEARCH("On track to be achieved",E62)))</formula>
    </cfRule>
    <cfRule type="containsText" dxfId="431" priority="542" operator="containsText" text="Deferred">
      <formula>NOT(ISERROR(SEARCH("Deferred",E62)))</formula>
    </cfRule>
    <cfRule type="containsText" dxfId="430" priority="543" operator="containsText" text="Deleted">
      <formula>NOT(ISERROR(SEARCH("Deleted",E62)))</formula>
    </cfRule>
    <cfRule type="containsText" dxfId="429" priority="544" operator="containsText" text="In Danger of Falling Behind Target">
      <formula>NOT(ISERROR(SEARCH("In Danger of Falling Behind Target",E62)))</formula>
    </cfRule>
    <cfRule type="containsText" dxfId="428" priority="545" operator="containsText" text="Not yet due">
      <formula>NOT(ISERROR(SEARCH("Not yet due",E62)))</formula>
    </cfRule>
    <cfRule type="containsText" dxfId="427" priority="546" operator="containsText" text="Update not Provided">
      <formula>NOT(ISERROR(SEARCH("Update not Provided",E62)))</formula>
    </cfRule>
    <cfRule type="containsText" dxfId="426" priority="547" operator="containsText" text="Not yet due">
      <formula>NOT(ISERROR(SEARCH("Not yet due",E62)))</formula>
    </cfRule>
    <cfRule type="containsText" dxfId="425" priority="548" operator="containsText" text="Completed Behind Schedule">
      <formula>NOT(ISERROR(SEARCH("Completed Behind Schedule",E62)))</formula>
    </cfRule>
    <cfRule type="containsText" dxfId="424" priority="549" operator="containsText" text="Off Target">
      <formula>NOT(ISERROR(SEARCH("Off Target",E62)))</formula>
    </cfRule>
    <cfRule type="containsText" dxfId="423" priority="550" operator="containsText" text="On Track to be Achieved">
      <formula>NOT(ISERROR(SEARCH("On Track to be Achieved",E62)))</formula>
    </cfRule>
    <cfRule type="containsText" dxfId="422" priority="551" operator="containsText" text="Fully Achieved">
      <formula>NOT(ISERROR(SEARCH("Fully Achieved",E62)))</formula>
    </cfRule>
    <cfRule type="containsText" dxfId="421" priority="552" operator="containsText" text="Not yet due">
      <formula>NOT(ISERROR(SEARCH("Not yet due",E62)))</formula>
    </cfRule>
    <cfRule type="containsText" dxfId="420" priority="553" operator="containsText" text="Not Yet Due">
      <formula>NOT(ISERROR(SEARCH("Not Yet Due",E62)))</formula>
    </cfRule>
    <cfRule type="containsText" dxfId="419" priority="554" operator="containsText" text="Deferred">
      <formula>NOT(ISERROR(SEARCH("Deferred",E62)))</formula>
    </cfRule>
    <cfRule type="containsText" dxfId="418" priority="555" operator="containsText" text="Deleted">
      <formula>NOT(ISERROR(SEARCH("Deleted",E62)))</formula>
    </cfRule>
    <cfRule type="containsText" dxfId="417" priority="556" operator="containsText" text="In Danger of Falling Behind Target">
      <formula>NOT(ISERROR(SEARCH("In Danger of Falling Behind Target",E62)))</formula>
    </cfRule>
    <cfRule type="containsText" dxfId="416" priority="557" operator="containsText" text="Not yet due">
      <formula>NOT(ISERROR(SEARCH("Not yet due",E62)))</formula>
    </cfRule>
    <cfRule type="containsText" dxfId="415" priority="558" operator="containsText" text="Completed Behind Schedule">
      <formula>NOT(ISERROR(SEARCH("Completed Behind Schedule",E62)))</formula>
    </cfRule>
    <cfRule type="containsText" dxfId="414" priority="559" operator="containsText" text="Off Target">
      <formula>NOT(ISERROR(SEARCH("Off Target",E62)))</formula>
    </cfRule>
    <cfRule type="containsText" dxfId="413" priority="560" operator="containsText" text="In Danger of Falling Behind Target">
      <formula>NOT(ISERROR(SEARCH("In Danger of Falling Behind Target",E62)))</formula>
    </cfRule>
    <cfRule type="containsText" dxfId="412" priority="561" operator="containsText" text="On Track to be Achieved">
      <formula>NOT(ISERROR(SEARCH("On Track to be Achieved",E62)))</formula>
    </cfRule>
    <cfRule type="containsText" dxfId="411" priority="562" operator="containsText" text="Fully Achieved">
      <formula>NOT(ISERROR(SEARCH("Fully Achieved",E62)))</formula>
    </cfRule>
    <cfRule type="containsText" dxfId="410" priority="563" operator="containsText" text="Update not Provided">
      <formula>NOT(ISERROR(SEARCH("Update not Provided",E62)))</formula>
    </cfRule>
    <cfRule type="containsText" dxfId="409" priority="564" operator="containsText" text="Not yet due">
      <formula>NOT(ISERROR(SEARCH("Not yet due",E62)))</formula>
    </cfRule>
    <cfRule type="containsText" dxfId="408" priority="565" operator="containsText" text="Completed Behind Schedule">
      <formula>NOT(ISERROR(SEARCH("Completed Behind Schedule",E62)))</formula>
    </cfRule>
    <cfRule type="containsText" dxfId="407" priority="566" operator="containsText" text="Off Target">
      <formula>NOT(ISERROR(SEARCH("Off Target",E62)))</formula>
    </cfRule>
    <cfRule type="containsText" dxfId="406" priority="567" operator="containsText" text="In Danger of Falling Behind Target">
      <formula>NOT(ISERROR(SEARCH("In Danger of Falling Behind Target",E62)))</formula>
    </cfRule>
    <cfRule type="containsText" dxfId="405" priority="568" operator="containsText" text="On Track to be Achieved">
      <formula>NOT(ISERROR(SEARCH("On Track to be Achieved",E62)))</formula>
    </cfRule>
    <cfRule type="containsText" dxfId="404" priority="569" operator="containsText" text="Fully Achieved">
      <formula>NOT(ISERROR(SEARCH("Fully Achieved",E62)))</formula>
    </cfRule>
    <cfRule type="containsText" dxfId="403" priority="570" operator="containsText" text="Fully Achieved">
      <formula>NOT(ISERROR(SEARCH("Fully Achieved",E62)))</formula>
    </cfRule>
    <cfRule type="containsText" dxfId="402" priority="571" operator="containsText" text="Fully Achieved">
      <formula>NOT(ISERROR(SEARCH("Fully Achieved",E62)))</formula>
    </cfRule>
    <cfRule type="containsText" dxfId="401" priority="572" operator="containsText" text="Deferred">
      <formula>NOT(ISERROR(SEARCH("Deferred",E62)))</formula>
    </cfRule>
    <cfRule type="containsText" dxfId="400" priority="573" operator="containsText" text="Deleted">
      <formula>NOT(ISERROR(SEARCH("Deleted",E62)))</formula>
    </cfRule>
    <cfRule type="containsText" dxfId="399" priority="574" operator="containsText" text="In Danger of Falling Behind Target">
      <formula>NOT(ISERROR(SEARCH("In Danger of Falling Behind Target",E62)))</formula>
    </cfRule>
    <cfRule type="containsText" dxfId="398" priority="575" operator="containsText" text="Not yet due">
      <formula>NOT(ISERROR(SEARCH("Not yet due",E62)))</formula>
    </cfRule>
    <cfRule type="containsText" dxfId="397" priority="576" operator="containsText" text="Update not Provided">
      <formula>NOT(ISERROR(SEARCH("Update not Provided",E62)))</formula>
    </cfRule>
  </conditionalFormatting>
  <conditionalFormatting sqref="E73:E74">
    <cfRule type="containsText" dxfId="396" priority="505" operator="containsText" text="On track to be achieved">
      <formula>NOT(ISERROR(SEARCH("On track to be achieved",E73)))</formula>
    </cfRule>
    <cfRule type="containsText" dxfId="395" priority="506" operator="containsText" text="Deferred">
      <formula>NOT(ISERROR(SEARCH("Deferred",E73)))</formula>
    </cfRule>
    <cfRule type="containsText" dxfId="394" priority="507" operator="containsText" text="Deleted">
      <formula>NOT(ISERROR(SEARCH("Deleted",E73)))</formula>
    </cfRule>
    <cfRule type="containsText" dxfId="393" priority="508" operator="containsText" text="In Danger of Falling Behind Target">
      <formula>NOT(ISERROR(SEARCH("In Danger of Falling Behind Target",E73)))</formula>
    </cfRule>
    <cfRule type="containsText" dxfId="392" priority="509" operator="containsText" text="Not yet due">
      <formula>NOT(ISERROR(SEARCH("Not yet due",E73)))</formula>
    </cfRule>
    <cfRule type="containsText" dxfId="391" priority="510" operator="containsText" text="Update not Provided">
      <formula>NOT(ISERROR(SEARCH("Update not Provided",E73)))</formula>
    </cfRule>
    <cfRule type="containsText" dxfId="390" priority="511" operator="containsText" text="Not yet due">
      <formula>NOT(ISERROR(SEARCH("Not yet due",E73)))</formula>
    </cfRule>
    <cfRule type="containsText" dxfId="389" priority="512" operator="containsText" text="Completed Behind Schedule">
      <formula>NOT(ISERROR(SEARCH("Completed Behind Schedule",E73)))</formula>
    </cfRule>
    <cfRule type="containsText" dxfId="388" priority="513" operator="containsText" text="Off Target">
      <formula>NOT(ISERROR(SEARCH("Off Target",E73)))</formula>
    </cfRule>
    <cfRule type="containsText" dxfId="387" priority="514" operator="containsText" text="On Track to be Achieved">
      <formula>NOT(ISERROR(SEARCH("On Track to be Achieved",E73)))</formula>
    </cfRule>
    <cfRule type="containsText" dxfId="386" priority="515" operator="containsText" text="Fully Achieved">
      <formula>NOT(ISERROR(SEARCH("Fully Achieved",E73)))</formula>
    </cfRule>
    <cfRule type="containsText" dxfId="385" priority="516" operator="containsText" text="Not yet due">
      <formula>NOT(ISERROR(SEARCH("Not yet due",E73)))</formula>
    </cfRule>
    <cfRule type="containsText" dxfId="384" priority="517" operator="containsText" text="Not Yet Due">
      <formula>NOT(ISERROR(SEARCH("Not Yet Due",E73)))</formula>
    </cfRule>
    <cfRule type="containsText" dxfId="383" priority="518" operator="containsText" text="Deferred">
      <formula>NOT(ISERROR(SEARCH("Deferred",E73)))</formula>
    </cfRule>
    <cfRule type="containsText" dxfId="382" priority="519" operator="containsText" text="Deleted">
      <formula>NOT(ISERROR(SEARCH("Deleted",E73)))</formula>
    </cfRule>
    <cfRule type="containsText" dxfId="381" priority="520" operator="containsText" text="In Danger of Falling Behind Target">
      <formula>NOT(ISERROR(SEARCH("In Danger of Falling Behind Target",E73)))</formula>
    </cfRule>
    <cfRule type="containsText" dxfId="380" priority="521" operator="containsText" text="Not yet due">
      <formula>NOT(ISERROR(SEARCH("Not yet due",E73)))</formula>
    </cfRule>
    <cfRule type="containsText" dxfId="379" priority="522" operator="containsText" text="Completed Behind Schedule">
      <formula>NOT(ISERROR(SEARCH("Completed Behind Schedule",E73)))</formula>
    </cfRule>
    <cfRule type="containsText" dxfId="378" priority="523" operator="containsText" text="Off Target">
      <formula>NOT(ISERROR(SEARCH("Off Target",E73)))</formula>
    </cfRule>
    <cfRule type="containsText" dxfId="377" priority="524" operator="containsText" text="In Danger of Falling Behind Target">
      <formula>NOT(ISERROR(SEARCH("In Danger of Falling Behind Target",E73)))</formula>
    </cfRule>
    <cfRule type="containsText" dxfId="376" priority="525" operator="containsText" text="On Track to be Achieved">
      <formula>NOT(ISERROR(SEARCH("On Track to be Achieved",E73)))</formula>
    </cfRule>
    <cfRule type="containsText" dxfId="375" priority="526" operator="containsText" text="Fully Achieved">
      <formula>NOT(ISERROR(SEARCH("Fully Achieved",E73)))</formula>
    </cfRule>
    <cfRule type="containsText" dxfId="374" priority="527" operator="containsText" text="Update not Provided">
      <formula>NOT(ISERROR(SEARCH("Update not Provided",E73)))</formula>
    </cfRule>
    <cfRule type="containsText" dxfId="373" priority="528" operator="containsText" text="Not yet due">
      <formula>NOT(ISERROR(SEARCH("Not yet due",E73)))</formula>
    </cfRule>
    <cfRule type="containsText" dxfId="372" priority="529" operator="containsText" text="Completed Behind Schedule">
      <formula>NOT(ISERROR(SEARCH("Completed Behind Schedule",E73)))</formula>
    </cfRule>
    <cfRule type="containsText" dxfId="371" priority="530" operator="containsText" text="Off Target">
      <formula>NOT(ISERROR(SEARCH("Off Target",E73)))</formula>
    </cfRule>
    <cfRule type="containsText" dxfId="370" priority="531" operator="containsText" text="In Danger of Falling Behind Target">
      <formula>NOT(ISERROR(SEARCH("In Danger of Falling Behind Target",E73)))</formula>
    </cfRule>
    <cfRule type="containsText" dxfId="369" priority="532" operator="containsText" text="On Track to be Achieved">
      <formula>NOT(ISERROR(SEARCH("On Track to be Achieved",E73)))</formula>
    </cfRule>
    <cfRule type="containsText" dxfId="368" priority="533" operator="containsText" text="Fully Achieved">
      <formula>NOT(ISERROR(SEARCH("Fully Achieved",E73)))</formula>
    </cfRule>
    <cfRule type="containsText" dxfId="367" priority="534" operator="containsText" text="Fully Achieved">
      <formula>NOT(ISERROR(SEARCH("Fully Achieved",E73)))</formula>
    </cfRule>
    <cfRule type="containsText" dxfId="366" priority="535" operator="containsText" text="Fully Achieved">
      <formula>NOT(ISERROR(SEARCH("Fully Achieved",E73)))</formula>
    </cfRule>
    <cfRule type="containsText" dxfId="365" priority="536" operator="containsText" text="Deferred">
      <formula>NOT(ISERROR(SEARCH("Deferred",E73)))</formula>
    </cfRule>
    <cfRule type="containsText" dxfId="364" priority="537" operator="containsText" text="Deleted">
      <formula>NOT(ISERROR(SEARCH("Deleted",E73)))</formula>
    </cfRule>
    <cfRule type="containsText" dxfId="363" priority="538" operator="containsText" text="In Danger of Falling Behind Target">
      <formula>NOT(ISERROR(SEARCH("In Danger of Falling Behind Target",E73)))</formula>
    </cfRule>
    <cfRule type="containsText" dxfId="362" priority="539" operator="containsText" text="Not yet due">
      <formula>NOT(ISERROR(SEARCH("Not yet due",E73)))</formula>
    </cfRule>
    <cfRule type="containsText" dxfId="361" priority="540" operator="containsText" text="Update not Provided">
      <formula>NOT(ISERROR(SEARCH("Update not Provided",E73)))</formula>
    </cfRule>
  </conditionalFormatting>
  <conditionalFormatting sqref="E75:E76">
    <cfRule type="containsText" dxfId="360" priority="469" operator="containsText" text="On track to be achieved">
      <formula>NOT(ISERROR(SEARCH("On track to be achieved",E75)))</formula>
    </cfRule>
    <cfRule type="containsText" dxfId="359" priority="470" operator="containsText" text="Deferred">
      <formula>NOT(ISERROR(SEARCH("Deferred",E75)))</formula>
    </cfRule>
    <cfRule type="containsText" dxfId="358" priority="471" operator="containsText" text="Deleted">
      <formula>NOT(ISERROR(SEARCH("Deleted",E75)))</formula>
    </cfRule>
    <cfRule type="containsText" dxfId="357" priority="472" operator="containsText" text="In Danger of Falling Behind Target">
      <formula>NOT(ISERROR(SEARCH("In Danger of Falling Behind Target",E75)))</formula>
    </cfRule>
    <cfRule type="containsText" dxfId="356" priority="473" operator="containsText" text="Not yet due">
      <formula>NOT(ISERROR(SEARCH("Not yet due",E75)))</formula>
    </cfRule>
    <cfRule type="containsText" dxfId="355" priority="474" operator="containsText" text="Update not Provided">
      <formula>NOT(ISERROR(SEARCH("Update not Provided",E75)))</formula>
    </cfRule>
    <cfRule type="containsText" dxfId="354" priority="475" operator="containsText" text="Not yet due">
      <formula>NOT(ISERROR(SEARCH("Not yet due",E75)))</formula>
    </cfRule>
    <cfRule type="containsText" dxfId="353" priority="476" operator="containsText" text="Completed Behind Schedule">
      <formula>NOT(ISERROR(SEARCH("Completed Behind Schedule",E75)))</formula>
    </cfRule>
    <cfRule type="containsText" dxfId="352" priority="477" operator="containsText" text="Off Target">
      <formula>NOT(ISERROR(SEARCH("Off Target",E75)))</formula>
    </cfRule>
    <cfRule type="containsText" dxfId="351" priority="478" operator="containsText" text="On Track to be Achieved">
      <formula>NOT(ISERROR(SEARCH("On Track to be Achieved",E75)))</formula>
    </cfRule>
    <cfRule type="containsText" dxfId="350" priority="479" operator="containsText" text="Fully Achieved">
      <formula>NOT(ISERROR(SEARCH("Fully Achieved",E75)))</formula>
    </cfRule>
    <cfRule type="containsText" dxfId="349" priority="480" operator="containsText" text="Not yet due">
      <formula>NOT(ISERROR(SEARCH("Not yet due",E75)))</formula>
    </cfRule>
    <cfRule type="containsText" dxfId="348" priority="481" operator="containsText" text="Not Yet Due">
      <formula>NOT(ISERROR(SEARCH("Not Yet Due",E75)))</formula>
    </cfRule>
    <cfRule type="containsText" dxfId="347" priority="482" operator="containsText" text="Deferred">
      <formula>NOT(ISERROR(SEARCH("Deferred",E75)))</formula>
    </cfRule>
    <cfRule type="containsText" dxfId="346" priority="483" operator="containsText" text="Deleted">
      <formula>NOT(ISERROR(SEARCH("Deleted",E75)))</formula>
    </cfRule>
    <cfRule type="containsText" dxfId="345" priority="484" operator="containsText" text="In Danger of Falling Behind Target">
      <formula>NOT(ISERROR(SEARCH("In Danger of Falling Behind Target",E75)))</formula>
    </cfRule>
    <cfRule type="containsText" dxfId="344" priority="485" operator="containsText" text="Not yet due">
      <formula>NOT(ISERROR(SEARCH("Not yet due",E75)))</formula>
    </cfRule>
    <cfRule type="containsText" dxfId="343" priority="486" operator="containsText" text="Completed Behind Schedule">
      <formula>NOT(ISERROR(SEARCH("Completed Behind Schedule",E75)))</formula>
    </cfRule>
    <cfRule type="containsText" dxfId="342" priority="487" operator="containsText" text="Off Target">
      <formula>NOT(ISERROR(SEARCH("Off Target",E75)))</formula>
    </cfRule>
    <cfRule type="containsText" dxfId="341" priority="488" operator="containsText" text="In Danger of Falling Behind Target">
      <formula>NOT(ISERROR(SEARCH("In Danger of Falling Behind Target",E75)))</formula>
    </cfRule>
    <cfRule type="containsText" dxfId="340" priority="489" operator="containsText" text="On Track to be Achieved">
      <formula>NOT(ISERROR(SEARCH("On Track to be Achieved",E75)))</formula>
    </cfRule>
    <cfRule type="containsText" dxfId="339" priority="490" operator="containsText" text="Fully Achieved">
      <formula>NOT(ISERROR(SEARCH("Fully Achieved",E75)))</formula>
    </cfRule>
    <cfRule type="containsText" dxfId="338" priority="491" operator="containsText" text="Update not Provided">
      <formula>NOT(ISERROR(SEARCH("Update not Provided",E75)))</formula>
    </cfRule>
    <cfRule type="containsText" dxfId="337" priority="492" operator="containsText" text="Not yet due">
      <formula>NOT(ISERROR(SEARCH("Not yet due",E75)))</formula>
    </cfRule>
    <cfRule type="containsText" dxfId="336" priority="493" operator="containsText" text="Completed Behind Schedule">
      <formula>NOT(ISERROR(SEARCH("Completed Behind Schedule",E75)))</formula>
    </cfRule>
    <cfRule type="containsText" dxfId="335" priority="494" operator="containsText" text="Off Target">
      <formula>NOT(ISERROR(SEARCH("Off Target",E75)))</formula>
    </cfRule>
    <cfRule type="containsText" dxfId="334" priority="495" operator="containsText" text="In Danger of Falling Behind Target">
      <formula>NOT(ISERROR(SEARCH("In Danger of Falling Behind Target",E75)))</formula>
    </cfRule>
    <cfRule type="containsText" dxfId="333" priority="496" operator="containsText" text="On Track to be Achieved">
      <formula>NOT(ISERROR(SEARCH("On Track to be Achieved",E75)))</formula>
    </cfRule>
    <cfRule type="containsText" dxfId="332" priority="497" operator="containsText" text="Fully Achieved">
      <formula>NOT(ISERROR(SEARCH("Fully Achieved",E75)))</formula>
    </cfRule>
    <cfRule type="containsText" dxfId="331" priority="498" operator="containsText" text="Fully Achieved">
      <formula>NOT(ISERROR(SEARCH("Fully Achieved",E75)))</formula>
    </cfRule>
    <cfRule type="containsText" dxfId="330" priority="499" operator="containsText" text="Fully Achieved">
      <formula>NOT(ISERROR(SEARCH("Fully Achieved",E75)))</formula>
    </cfRule>
    <cfRule type="containsText" dxfId="329" priority="500" operator="containsText" text="Deferred">
      <formula>NOT(ISERROR(SEARCH("Deferred",E75)))</formula>
    </cfRule>
    <cfRule type="containsText" dxfId="328" priority="501" operator="containsText" text="Deleted">
      <formula>NOT(ISERROR(SEARCH("Deleted",E75)))</formula>
    </cfRule>
    <cfRule type="containsText" dxfId="327" priority="502" operator="containsText" text="In Danger of Falling Behind Target">
      <formula>NOT(ISERROR(SEARCH("In Danger of Falling Behind Target",E75)))</formula>
    </cfRule>
    <cfRule type="containsText" dxfId="326" priority="503" operator="containsText" text="Not yet due">
      <formula>NOT(ISERROR(SEARCH("Not yet due",E75)))</formula>
    </cfRule>
    <cfRule type="containsText" dxfId="325" priority="504" operator="containsText" text="Update not Provided">
      <formula>NOT(ISERROR(SEARCH("Update not Provided",E75)))</formula>
    </cfRule>
  </conditionalFormatting>
  <conditionalFormatting sqref="E80:E81">
    <cfRule type="containsText" dxfId="324" priority="433" operator="containsText" text="On track to be achieved">
      <formula>NOT(ISERROR(SEARCH("On track to be achieved",E80)))</formula>
    </cfRule>
    <cfRule type="containsText" dxfId="323" priority="434" operator="containsText" text="Deferred">
      <formula>NOT(ISERROR(SEARCH("Deferred",E80)))</formula>
    </cfRule>
    <cfRule type="containsText" dxfId="322" priority="435" operator="containsText" text="Deleted">
      <formula>NOT(ISERROR(SEARCH("Deleted",E80)))</formula>
    </cfRule>
    <cfRule type="containsText" dxfId="321" priority="436" operator="containsText" text="In Danger of Falling Behind Target">
      <formula>NOT(ISERROR(SEARCH("In Danger of Falling Behind Target",E80)))</formula>
    </cfRule>
    <cfRule type="containsText" dxfId="320" priority="437" operator="containsText" text="Not yet due">
      <formula>NOT(ISERROR(SEARCH("Not yet due",E80)))</formula>
    </cfRule>
    <cfRule type="containsText" dxfId="319" priority="438" operator="containsText" text="Update not Provided">
      <formula>NOT(ISERROR(SEARCH("Update not Provided",E80)))</formula>
    </cfRule>
    <cfRule type="containsText" dxfId="318" priority="439" operator="containsText" text="Not yet due">
      <formula>NOT(ISERROR(SEARCH("Not yet due",E80)))</formula>
    </cfRule>
    <cfRule type="containsText" dxfId="317" priority="440" operator="containsText" text="Completed Behind Schedule">
      <formula>NOT(ISERROR(SEARCH("Completed Behind Schedule",E80)))</formula>
    </cfRule>
    <cfRule type="containsText" dxfId="316" priority="441" operator="containsText" text="Off Target">
      <formula>NOT(ISERROR(SEARCH("Off Target",E80)))</formula>
    </cfRule>
    <cfRule type="containsText" dxfId="315" priority="442" operator="containsText" text="On Track to be Achieved">
      <formula>NOT(ISERROR(SEARCH("On Track to be Achieved",E80)))</formula>
    </cfRule>
    <cfRule type="containsText" dxfId="314" priority="443" operator="containsText" text="Fully Achieved">
      <formula>NOT(ISERROR(SEARCH("Fully Achieved",E80)))</formula>
    </cfRule>
    <cfRule type="containsText" dxfId="313" priority="444" operator="containsText" text="Not yet due">
      <formula>NOT(ISERROR(SEARCH("Not yet due",E80)))</formula>
    </cfRule>
    <cfRule type="containsText" dxfId="312" priority="445" operator="containsText" text="Not Yet Due">
      <formula>NOT(ISERROR(SEARCH("Not Yet Due",E80)))</formula>
    </cfRule>
    <cfRule type="containsText" dxfId="311" priority="446" operator="containsText" text="Deferred">
      <formula>NOT(ISERROR(SEARCH("Deferred",E80)))</formula>
    </cfRule>
    <cfRule type="containsText" dxfId="310" priority="447" operator="containsText" text="Deleted">
      <formula>NOT(ISERROR(SEARCH("Deleted",E80)))</formula>
    </cfRule>
    <cfRule type="containsText" dxfId="309" priority="448" operator="containsText" text="In Danger of Falling Behind Target">
      <formula>NOT(ISERROR(SEARCH("In Danger of Falling Behind Target",E80)))</formula>
    </cfRule>
    <cfRule type="containsText" dxfId="308" priority="449" operator="containsText" text="Not yet due">
      <formula>NOT(ISERROR(SEARCH("Not yet due",E80)))</formula>
    </cfRule>
    <cfRule type="containsText" dxfId="307" priority="450" operator="containsText" text="Completed Behind Schedule">
      <formula>NOT(ISERROR(SEARCH("Completed Behind Schedule",E80)))</formula>
    </cfRule>
    <cfRule type="containsText" dxfId="306" priority="451" operator="containsText" text="Off Target">
      <formula>NOT(ISERROR(SEARCH("Off Target",E80)))</formula>
    </cfRule>
    <cfRule type="containsText" dxfId="305" priority="452" operator="containsText" text="In Danger of Falling Behind Target">
      <formula>NOT(ISERROR(SEARCH("In Danger of Falling Behind Target",E80)))</formula>
    </cfRule>
    <cfRule type="containsText" dxfId="304" priority="453" operator="containsText" text="On Track to be Achieved">
      <formula>NOT(ISERROR(SEARCH("On Track to be Achieved",E80)))</formula>
    </cfRule>
    <cfRule type="containsText" dxfId="303" priority="454" operator="containsText" text="Fully Achieved">
      <formula>NOT(ISERROR(SEARCH("Fully Achieved",E80)))</formula>
    </cfRule>
    <cfRule type="containsText" dxfId="302" priority="455" operator="containsText" text="Update not Provided">
      <formula>NOT(ISERROR(SEARCH("Update not Provided",E80)))</formula>
    </cfRule>
    <cfRule type="containsText" dxfId="301" priority="456" operator="containsText" text="Not yet due">
      <formula>NOT(ISERROR(SEARCH("Not yet due",E80)))</formula>
    </cfRule>
    <cfRule type="containsText" dxfId="300" priority="457" operator="containsText" text="Completed Behind Schedule">
      <formula>NOT(ISERROR(SEARCH("Completed Behind Schedule",E80)))</formula>
    </cfRule>
    <cfRule type="containsText" dxfId="299" priority="458" operator="containsText" text="Off Target">
      <formula>NOT(ISERROR(SEARCH("Off Target",E80)))</formula>
    </cfRule>
    <cfRule type="containsText" dxfId="298" priority="459" operator="containsText" text="In Danger of Falling Behind Target">
      <formula>NOT(ISERROR(SEARCH("In Danger of Falling Behind Target",E80)))</formula>
    </cfRule>
    <cfRule type="containsText" dxfId="297" priority="460" operator="containsText" text="On Track to be Achieved">
      <formula>NOT(ISERROR(SEARCH("On Track to be Achieved",E80)))</formula>
    </cfRule>
    <cfRule type="containsText" dxfId="296" priority="461" operator="containsText" text="Fully Achieved">
      <formula>NOT(ISERROR(SEARCH("Fully Achieved",E80)))</formula>
    </cfRule>
    <cfRule type="containsText" dxfId="295" priority="462" operator="containsText" text="Fully Achieved">
      <formula>NOT(ISERROR(SEARCH("Fully Achieved",E80)))</formula>
    </cfRule>
    <cfRule type="containsText" dxfId="294" priority="463" operator="containsText" text="Fully Achieved">
      <formula>NOT(ISERROR(SEARCH("Fully Achieved",E80)))</formula>
    </cfRule>
    <cfRule type="containsText" dxfId="293" priority="464" operator="containsText" text="Deferred">
      <formula>NOT(ISERROR(SEARCH("Deferred",E80)))</formula>
    </cfRule>
    <cfRule type="containsText" dxfId="292" priority="465" operator="containsText" text="Deleted">
      <formula>NOT(ISERROR(SEARCH("Deleted",E80)))</formula>
    </cfRule>
    <cfRule type="containsText" dxfId="291" priority="466" operator="containsText" text="In Danger of Falling Behind Target">
      <formula>NOT(ISERROR(SEARCH("In Danger of Falling Behind Target",E80)))</formula>
    </cfRule>
    <cfRule type="containsText" dxfId="290" priority="467" operator="containsText" text="Not yet due">
      <formula>NOT(ISERROR(SEARCH("Not yet due",E80)))</formula>
    </cfRule>
    <cfRule type="containsText" dxfId="289" priority="468" operator="containsText" text="Update not Provided">
      <formula>NOT(ISERROR(SEARCH("Update not Provided",E80)))</formula>
    </cfRule>
  </conditionalFormatting>
  <conditionalFormatting sqref="E83">
    <cfRule type="containsText" dxfId="288" priority="397" operator="containsText" text="On track to be achieved">
      <formula>NOT(ISERROR(SEARCH("On track to be achieved",E83)))</formula>
    </cfRule>
    <cfRule type="containsText" dxfId="287" priority="398" operator="containsText" text="Deferred">
      <formula>NOT(ISERROR(SEARCH("Deferred",E83)))</formula>
    </cfRule>
    <cfRule type="containsText" dxfId="286" priority="399" operator="containsText" text="Deleted">
      <formula>NOT(ISERROR(SEARCH("Deleted",E83)))</formula>
    </cfRule>
    <cfRule type="containsText" dxfId="285" priority="400" operator="containsText" text="In Danger of Falling Behind Target">
      <formula>NOT(ISERROR(SEARCH("In Danger of Falling Behind Target",E83)))</formula>
    </cfRule>
    <cfRule type="containsText" dxfId="284" priority="401" operator="containsText" text="Not yet due">
      <formula>NOT(ISERROR(SEARCH("Not yet due",E83)))</formula>
    </cfRule>
    <cfRule type="containsText" dxfId="283" priority="402" operator="containsText" text="Update not Provided">
      <formula>NOT(ISERROR(SEARCH("Update not Provided",E83)))</formula>
    </cfRule>
    <cfRule type="containsText" dxfId="282" priority="403" operator="containsText" text="Not yet due">
      <formula>NOT(ISERROR(SEARCH("Not yet due",E83)))</formula>
    </cfRule>
    <cfRule type="containsText" dxfId="281" priority="404" operator="containsText" text="Completed Behind Schedule">
      <formula>NOT(ISERROR(SEARCH("Completed Behind Schedule",E83)))</formula>
    </cfRule>
    <cfRule type="containsText" dxfId="280" priority="405" operator="containsText" text="Off Target">
      <formula>NOT(ISERROR(SEARCH("Off Target",E83)))</formula>
    </cfRule>
    <cfRule type="containsText" dxfId="279" priority="406" operator="containsText" text="On Track to be Achieved">
      <formula>NOT(ISERROR(SEARCH("On Track to be Achieved",E83)))</formula>
    </cfRule>
    <cfRule type="containsText" dxfId="278" priority="407" operator="containsText" text="Fully Achieved">
      <formula>NOT(ISERROR(SEARCH("Fully Achieved",E83)))</formula>
    </cfRule>
    <cfRule type="containsText" dxfId="277" priority="408" operator="containsText" text="Not yet due">
      <formula>NOT(ISERROR(SEARCH("Not yet due",E83)))</formula>
    </cfRule>
    <cfRule type="containsText" dxfId="276" priority="409" operator="containsText" text="Not Yet Due">
      <formula>NOT(ISERROR(SEARCH("Not Yet Due",E83)))</formula>
    </cfRule>
    <cfRule type="containsText" dxfId="275" priority="410" operator="containsText" text="Deferred">
      <formula>NOT(ISERROR(SEARCH("Deferred",E83)))</formula>
    </cfRule>
    <cfRule type="containsText" dxfId="274" priority="411" operator="containsText" text="Deleted">
      <formula>NOT(ISERROR(SEARCH("Deleted",E83)))</formula>
    </cfRule>
    <cfRule type="containsText" dxfId="273" priority="412" operator="containsText" text="In Danger of Falling Behind Target">
      <formula>NOT(ISERROR(SEARCH("In Danger of Falling Behind Target",E83)))</formula>
    </cfRule>
    <cfRule type="containsText" dxfId="272" priority="413" operator="containsText" text="Not yet due">
      <formula>NOT(ISERROR(SEARCH("Not yet due",E83)))</formula>
    </cfRule>
    <cfRule type="containsText" dxfId="271" priority="414" operator="containsText" text="Completed Behind Schedule">
      <formula>NOT(ISERROR(SEARCH("Completed Behind Schedule",E83)))</formula>
    </cfRule>
    <cfRule type="containsText" dxfId="270" priority="415" operator="containsText" text="Off Target">
      <formula>NOT(ISERROR(SEARCH("Off Target",E83)))</formula>
    </cfRule>
    <cfRule type="containsText" dxfId="269" priority="416" operator="containsText" text="In Danger of Falling Behind Target">
      <formula>NOT(ISERROR(SEARCH("In Danger of Falling Behind Target",E83)))</formula>
    </cfRule>
    <cfRule type="containsText" dxfId="268" priority="417" operator="containsText" text="On Track to be Achieved">
      <formula>NOT(ISERROR(SEARCH("On Track to be Achieved",E83)))</formula>
    </cfRule>
    <cfRule type="containsText" dxfId="267" priority="418" operator="containsText" text="Fully Achieved">
      <formula>NOT(ISERROR(SEARCH("Fully Achieved",E83)))</formula>
    </cfRule>
    <cfRule type="containsText" dxfId="266" priority="419" operator="containsText" text="Update not Provided">
      <formula>NOT(ISERROR(SEARCH("Update not Provided",E83)))</formula>
    </cfRule>
    <cfRule type="containsText" dxfId="265" priority="420" operator="containsText" text="Not yet due">
      <formula>NOT(ISERROR(SEARCH("Not yet due",E83)))</formula>
    </cfRule>
    <cfRule type="containsText" dxfId="264" priority="421" operator="containsText" text="Completed Behind Schedule">
      <formula>NOT(ISERROR(SEARCH("Completed Behind Schedule",E83)))</formula>
    </cfRule>
    <cfRule type="containsText" dxfId="263" priority="422" operator="containsText" text="Off Target">
      <formula>NOT(ISERROR(SEARCH("Off Target",E83)))</formula>
    </cfRule>
    <cfRule type="containsText" dxfId="262" priority="423" operator="containsText" text="In Danger of Falling Behind Target">
      <formula>NOT(ISERROR(SEARCH("In Danger of Falling Behind Target",E83)))</formula>
    </cfRule>
    <cfRule type="containsText" dxfId="261" priority="424" operator="containsText" text="On Track to be Achieved">
      <formula>NOT(ISERROR(SEARCH("On Track to be Achieved",E83)))</formula>
    </cfRule>
    <cfRule type="containsText" dxfId="260" priority="425" operator="containsText" text="Fully Achieved">
      <formula>NOT(ISERROR(SEARCH("Fully Achieved",E83)))</formula>
    </cfRule>
    <cfRule type="containsText" dxfId="259" priority="426" operator="containsText" text="Fully Achieved">
      <formula>NOT(ISERROR(SEARCH("Fully Achieved",E83)))</formula>
    </cfRule>
    <cfRule type="containsText" dxfId="258" priority="427" operator="containsText" text="Fully Achieved">
      <formula>NOT(ISERROR(SEARCH("Fully Achieved",E83)))</formula>
    </cfRule>
    <cfRule type="containsText" dxfId="257" priority="428" operator="containsText" text="Deferred">
      <formula>NOT(ISERROR(SEARCH("Deferred",E83)))</formula>
    </cfRule>
    <cfRule type="containsText" dxfId="256" priority="429" operator="containsText" text="Deleted">
      <formula>NOT(ISERROR(SEARCH("Deleted",E83)))</formula>
    </cfRule>
    <cfRule type="containsText" dxfId="255" priority="430" operator="containsText" text="In Danger of Falling Behind Target">
      <formula>NOT(ISERROR(SEARCH("In Danger of Falling Behind Target",E83)))</formula>
    </cfRule>
    <cfRule type="containsText" dxfId="254" priority="431" operator="containsText" text="Not yet due">
      <formula>NOT(ISERROR(SEARCH("Not yet due",E83)))</formula>
    </cfRule>
    <cfRule type="containsText" dxfId="253" priority="432" operator="containsText" text="Update not Provided">
      <formula>NOT(ISERROR(SEARCH("Update not Provided",E83)))</formula>
    </cfRule>
  </conditionalFormatting>
  <conditionalFormatting sqref="E89">
    <cfRule type="containsText" dxfId="252" priority="361" operator="containsText" text="On track to be achieved">
      <formula>NOT(ISERROR(SEARCH("On track to be achieved",E89)))</formula>
    </cfRule>
    <cfRule type="containsText" dxfId="251" priority="362" operator="containsText" text="Deferred">
      <formula>NOT(ISERROR(SEARCH("Deferred",E89)))</formula>
    </cfRule>
    <cfRule type="containsText" dxfId="250" priority="363" operator="containsText" text="Deleted">
      <formula>NOT(ISERROR(SEARCH("Deleted",E89)))</formula>
    </cfRule>
    <cfRule type="containsText" dxfId="249" priority="364" operator="containsText" text="In Danger of Falling Behind Target">
      <formula>NOT(ISERROR(SEARCH("In Danger of Falling Behind Target",E89)))</formula>
    </cfRule>
    <cfRule type="containsText" dxfId="248" priority="365" operator="containsText" text="Not yet due">
      <formula>NOT(ISERROR(SEARCH("Not yet due",E89)))</formula>
    </cfRule>
    <cfRule type="containsText" dxfId="247" priority="366" operator="containsText" text="Update not Provided">
      <formula>NOT(ISERROR(SEARCH("Update not Provided",E89)))</formula>
    </cfRule>
    <cfRule type="containsText" dxfId="246" priority="367" operator="containsText" text="Not yet due">
      <formula>NOT(ISERROR(SEARCH("Not yet due",E89)))</formula>
    </cfRule>
    <cfRule type="containsText" dxfId="245" priority="368" operator="containsText" text="Completed Behind Schedule">
      <formula>NOT(ISERROR(SEARCH("Completed Behind Schedule",E89)))</formula>
    </cfRule>
    <cfRule type="containsText" dxfId="244" priority="369" operator="containsText" text="Off Target">
      <formula>NOT(ISERROR(SEARCH("Off Target",E89)))</formula>
    </cfRule>
    <cfRule type="containsText" dxfId="243" priority="370" operator="containsText" text="On Track to be Achieved">
      <formula>NOT(ISERROR(SEARCH("On Track to be Achieved",E89)))</formula>
    </cfRule>
    <cfRule type="containsText" dxfId="242" priority="371" operator="containsText" text="Fully Achieved">
      <formula>NOT(ISERROR(SEARCH("Fully Achieved",E89)))</formula>
    </cfRule>
    <cfRule type="containsText" dxfId="241" priority="372" operator="containsText" text="Not yet due">
      <formula>NOT(ISERROR(SEARCH("Not yet due",E89)))</formula>
    </cfRule>
    <cfRule type="containsText" dxfId="240" priority="373" operator="containsText" text="Not Yet Due">
      <formula>NOT(ISERROR(SEARCH("Not Yet Due",E89)))</formula>
    </cfRule>
    <cfRule type="containsText" dxfId="239" priority="374" operator="containsText" text="Deferred">
      <formula>NOT(ISERROR(SEARCH("Deferred",E89)))</formula>
    </cfRule>
    <cfRule type="containsText" dxfId="238" priority="375" operator="containsText" text="Deleted">
      <formula>NOT(ISERROR(SEARCH("Deleted",E89)))</formula>
    </cfRule>
    <cfRule type="containsText" dxfId="237" priority="376" operator="containsText" text="In Danger of Falling Behind Target">
      <formula>NOT(ISERROR(SEARCH("In Danger of Falling Behind Target",E89)))</formula>
    </cfRule>
    <cfRule type="containsText" dxfId="236" priority="377" operator="containsText" text="Not yet due">
      <formula>NOT(ISERROR(SEARCH("Not yet due",E89)))</formula>
    </cfRule>
    <cfRule type="containsText" dxfId="235" priority="378" operator="containsText" text="Completed Behind Schedule">
      <formula>NOT(ISERROR(SEARCH("Completed Behind Schedule",E89)))</formula>
    </cfRule>
    <cfRule type="containsText" dxfId="234" priority="379" operator="containsText" text="Off Target">
      <formula>NOT(ISERROR(SEARCH("Off Target",E89)))</formula>
    </cfRule>
    <cfRule type="containsText" dxfId="233" priority="380" operator="containsText" text="In Danger of Falling Behind Target">
      <formula>NOT(ISERROR(SEARCH("In Danger of Falling Behind Target",E89)))</formula>
    </cfRule>
    <cfRule type="containsText" dxfId="232" priority="381" operator="containsText" text="On Track to be Achieved">
      <formula>NOT(ISERROR(SEARCH("On Track to be Achieved",E89)))</formula>
    </cfRule>
    <cfRule type="containsText" dxfId="231" priority="382" operator="containsText" text="Fully Achieved">
      <formula>NOT(ISERROR(SEARCH("Fully Achieved",E89)))</formula>
    </cfRule>
    <cfRule type="containsText" dxfId="230" priority="383" operator="containsText" text="Update not Provided">
      <formula>NOT(ISERROR(SEARCH("Update not Provided",E89)))</formula>
    </cfRule>
    <cfRule type="containsText" dxfId="229" priority="384" operator="containsText" text="Not yet due">
      <formula>NOT(ISERROR(SEARCH("Not yet due",E89)))</formula>
    </cfRule>
    <cfRule type="containsText" dxfId="228" priority="385" operator="containsText" text="Completed Behind Schedule">
      <formula>NOT(ISERROR(SEARCH("Completed Behind Schedule",E89)))</formula>
    </cfRule>
    <cfRule type="containsText" dxfId="227" priority="386" operator="containsText" text="Off Target">
      <formula>NOT(ISERROR(SEARCH("Off Target",E89)))</formula>
    </cfRule>
    <cfRule type="containsText" dxfId="226" priority="387" operator="containsText" text="In Danger of Falling Behind Target">
      <formula>NOT(ISERROR(SEARCH("In Danger of Falling Behind Target",E89)))</formula>
    </cfRule>
    <cfRule type="containsText" dxfId="225" priority="388" operator="containsText" text="On Track to be Achieved">
      <formula>NOT(ISERROR(SEARCH("On Track to be Achieved",E89)))</formula>
    </cfRule>
    <cfRule type="containsText" dxfId="224" priority="389" operator="containsText" text="Fully Achieved">
      <formula>NOT(ISERROR(SEARCH("Fully Achieved",E89)))</formula>
    </cfRule>
    <cfRule type="containsText" dxfId="223" priority="390" operator="containsText" text="Fully Achieved">
      <formula>NOT(ISERROR(SEARCH("Fully Achieved",E89)))</formula>
    </cfRule>
    <cfRule type="containsText" dxfId="222" priority="391" operator="containsText" text="Fully Achieved">
      <formula>NOT(ISERROR(SEARCH("Fully Achieved",E89)))</formula>
    </cfRule>
    <cfRule type="containsText" dxfId="221" priority="392" operator="containsText" text="Deferred">
      <formula>NOT(ISERROR(SEARCH("Deferred",E89)))</formula>
    </cfRule>
    <cfRule type="containsText" dxfId="220" priority="393" operator="containsText" text="Deleted">
      <formula>NOT(ISERROR(SEARCH("Deleted",E89)))</formula>
    </cfRule>
    <cfRule type="containsText" dxfId="219" priority="394" operator="containsText" text="In Danger of Falling Behind Target">
      <formula>NOT(ISERROR(SEARCH("In Danger of Falling Behind Target",E89)))</formula>
    </cfRule>
    <cfRule type="containsText" dxfId="218" priority="395" operator="containsText" text="Not yet due">
      <formula>NOT(ISERROR(SEARCH("Not yet due",E89)))</formula>
    </cfRule>
    <cfRule type="containsText" dxfId="217" priority="396" operator="containsText" text="Update not Provided">
      <formula>NOT(ISERROR(SEARCH("Update not Provided",E89)))</formula>
    </cfRule>
  </conditionalFormatting>
  <conditionalFormatting sqref="E91">
    <cfRule type="containsText" dxfId="216" priority="325" operator="containsText" text="On track to be achieved">
      <formula>NOT(ISERROR(SEARCH("On track to be achieved",E91)))</formula>
    </cfRule>
    <cfRule type="containsText" dxfId="215" priority="326" operator="containsText" text="Deferred">
      <formula>NOT(ISERROR(SEARCH("Deferred",E91)))</formula>
    </cfRule>
    <cfRule type="containsText" dxfId="214" priority="327" operator="containsText" text="Deleted">
      <formula>NOT(ISERROR(SEARCH("Deleted",E91)))</formula>
    </cfRule>
    <cfRule type="containsText" dxfId="213" priority="328" operator="containsText" text="In Danger of Falling Behind Target">
      <formula>NOT(ISERROR(SEARCH("In Danger of Falling Behind Target",E91)))</formula>
    </cfRule>
    <cfRule type="containsText" dxfId="212" priority="329" operator="containsText" text="Not yet due">
      <formula>NOT(ISERROR(SEARCH("Not yet due",E91)))</formula>
    </cfRule>
    <cfRule type="containsText" dxfId="211" priority="330" operator="containsText" text="Update not Provided">
      <formula>NOT(ISERROR(SEARCH("Update not Provided",E91)))</formula>
    </cfRule>
    <cfRule type="containsText" dxfId="210" priority="331" operator="containsText" text="Not yet due">
      <formula>NOT(ISERROR(SEARCH("Not yet due",E91)))</formula>
    </cfRule>
    <cfRule type="containsText" dxfId="209" priority="332" operator="containsText" text="Completed Behind Schedule">
      <formula>NOT(ISERROR(SEARCH("Completed Behind Schedule",E91)))</formula>
    </cfRule>
    <cfRule type="containsText" dxfId="208" priority="333" operator="containsText" text="Off Target">
      <formula>NOT(ISERROR(SEARCH("Off Target",E91)))</formula>
    </cfRule>
    <cfRule type="containsText" dxfId="207" priority="334" operator="containsText" text="On Track to be Achieved">
      <formula>NOT(ISERROR(SEARCH("On Track to be Achieved",E91)))</formula>
    </cfRule>
    <cfRule type="containsText" dxfId="206" priority="335" operator="containsText" text="Fully Achieved">
      <formula>NOT(ISERROR(SEARCH("Fully Achieved",E91)))</formula>
    </cfRule>
    <cfRule type="containsText" dxfId="205" priority="336" operator="containsText" text="Not yet due">
      <formula>NOT(ISERROR(SEARCH("Not yet due",E91)))</formula>
    </cfRule>
    <cfRule type="containsText" dxfId="204" priority="337" operator="containsText" text="Not Yet Due">
      <formula>NOT(ISERROR(SEARCH("Not Yet Due",E91)))</formula>
    </cfRule>
    <cfRule type="containsText" dxfId="203" priority="338" operator="containsText" text="Deferred">
      <formula>NOT(ISERROR(SEARCH("Deferred",E91)))</formula>
    </cfRule>
    <cfRule type="containsText" dxfId="202" priority="339" operator="containsText" text="Deleted">
      <formula>NOT(ISERROR(SEARCH("Deleted",E91)))</formula>
    </cfRule>
    <cfRule type="containsText" dxfId="201" priority="340" operator="containsText" text="In Danger of Falling Behind Target">
      <formula>NOT(ISERROR(SEARCH("In Danger of Falling Behind Target",E91)))</formula>
    </cfRule>
    <cfRule type="containsText" dxfId="200" priority="341" operator="containsText" text="Not yet due">
      <formula>NOT(ISERROR(SEARCH("Not yet due",E91)))</formula>
    </cfRule>
    <cfRule type="containsText" dxfId="199" priority="342" operator="containsText" text="Completed Behind Schedule">
      <formula>NOT(ISERROR(SEARCH("Completed Behind Schedule",E91)))</formula>
    </cfRule>
    <cfRule type="containsText" dxfId="198" priority="343" operator="containsText" text="Off Target">
      <formula>NOT(ISERROR(SEARCH("Off Target",E91)))</formula>
    </cfRule>
    <cfRule type="containsText" dxfId="197" priority="344" operator="containsText" text="In Danger of Falling Behind Target">
      <formula>NOT(ISERROR(SEARCH("In Danger of Falling Behind Target",E91)))</formula>
    </cfRule>
    <cfRule type="containsText" dxfId="196" priority="345" operator="containsText" text="On Track to be Achieved">
      <formula>NOT(ISERROR(SEARCH("On Track to be Achieved",E91)))</formula>
    </cfRule>
    <cfRule type="containsText" dxfId="195" priority="346" operator="containsText" text="Fully Achieved">
      <formula>NOT(ISERROR(SEARCH("Fully Achieved",E91)))</formula>
    </cfRule>
    <cfRule type="containsText" dxfId="194" priority="347" operator="containsText" text="Update not Provided">
      <formula>NOT(ISERROR(SEARCH("Update not Provided",E91)))</formula>
    </cfRule>
    <cfRule type="containsText" dxfId="193" priority="348" operator="containsText" text="Not yet due">
      <formula>NOT(ISERROR(SEARCH("Not yet due",E91)))</formula>
    </cfRule>
    <cfRule type="containsText" dxfId="192" priority="349" operator="containsText" text="Completed Behind Schedule">
      <formula>NOT(ISERROR(SEARCH("Completed Behind Schedule",E91)))</formula>
    </cfRule>
    <cfRule type="containsText" dxfId="191" priority="350" operator="containsText" text="Off Target">
      <formula>NOT(ISERROR(SEARCH("Off Target",E91)))</formula>
    </cfRule>
    <cfRule type="containsText" dxfId="190" priority="351" operator="containsText" text="In Danger of Falling Behind Target">
      <formula>NOT(ISERROR(SEARCH("In Danger of Falling Behind Target",E91)))</formula>
    </cfRule>
    <cfRule type="containsText" dxfId="189" priority="352" operator="containsText" text="On Track to be Achieved">
      <formula>NOT(ISERROR(SEARCH("On Track to be Achieved",E91)))</formula>
    </cfRule>
    <cfRule type="containsText" dxfId="188" priority="353" operator="containsText" text="Fully Achieved">
      <formula>NOT(ISERROR(SEARCH("Fully Achieved",E91)))</formula>
    </cfRule>
    <cfRule type="containsText" dxfId="187" priority="354" operator="containsText" text="Fully Achieved">
      <formula>NOT(ISERROR(SEARCH("Fully Achieved",E91)))</formula>
    </cfRule>
    <cfRule type="containsText" dxfId="186" priority="355" operator="containsText" text="Fully Achieved">
      <formula>NOT(ISERROR(SEARCH("Fully Achieved",E91)))</formula>
    </cfRule>
    <cfRule type="containsText" dxfId="185" priority="356" operator="containsText" text="Deferred">
      <formula>NOT(ISERROR(SEARCH("Deferred",E91)))</formula>
    </cfRule>
    <cfRule type="containsText" dxfId="184" priority="357" operator="containsText" text="Deleted">
      <formula>NOT(ISERROR(SEARCH("Deleted",E91)))</formula>
    </cfRule>
    <cfRule type="containsText" dxfId="183" priority="358" operator="containsText" text="In Danger of Falling Behind Target">
      <formula>NOT(ISERROR(SEARCH("In Danger of Falling Behind Target",E91)))</formula>
    </cfRule>
    <cfRule type="containsText" dxfId="182" priority="359" operator="containsText" text="Not yet due">
      <formula>NOT(ISERROR(SEARCH("Not yet due",E91)))</formula>
    </cfRule>
    <cfRule type="containsText" dxfId="181" priority="360" operator="containsText" text="Update not Provided">
      <formula>NOT(ISERROR(SEARCH("Update not Provided",E91)))</formula>
    </cfRule>
  </conditionalFormatting>
  <conditionalFormatting sqref="E96:E97">
    <cfRule type="containsText" dxfId="180" priority="289" operator="containsText" text="On track to be achieved">
      <formula>NOT(ISERROR(SEARCH("On track to be achieved",E96)))</formula>
    </cfRule>
    <cfRule type="containsText" dxfId="179" priority="290" operator="containsText" text="Deferred">
      <formula>NOT(ISERROR(SEARCH("Deferred",E96)))</formula>
    </cfRule>
    <cfRule type="containsText" dxfId="178" priority="291" operator="containsText" text="Deleted">
      <formula>NOT(ISERROR(SEARCH("Deleted",E96)))</formula>
    </cfRule>
    <cfRule type="containsText" dxfId="177" priority="292" operator="containsText" text="In Danger of Falling Behind Target">
      <formula>NOT(ISERROR(SEARCH("In Danger of Falling Behind Target",E96)))</formula>
    </cfRule>
    <cfRule type="containsText" dxfId="176" priority="293" operator="containsText" text="Not yet due">
      <formula>NOT(ISERROR(SEARCH("Not yet due",E96)))</formula>
    </cfRule>
    <cfRule type="containsText" dxfId="175" priority="294" operator="containsText" text="Update not Provided">
      <formula>NOT(ISERROR(SEARCH("Update not Provided",E96)))</formula>
    </cfRule>
    <cfRule type="containsText" dxfId="174" priority="295" operator="containsText" text="Not yet due">
      <formula>NOT(ISERROR(SEARCH("Not yet due",E96)))</formula>
    </cfRule>
    <cfRule type="containsText" dxfId="173" priority="296" operator="containsText" text="Completed Behind Schedule">
      <formula>NOT(ISERROR(SEARCH("Completed Behind Schedule",E96)))</formula>
    </cfRule>
    <cfRule type="containsText" dxfId="172" priority="297" operator="containsText" text="Off Target">
      <formula>NOT(ISERROR(SEARCH("Off Target",E96)))</formula>
    </cfRule>
    <cfRule type="containsText" dxfId="171" priority="298" operator="containsText" text="On Track to be Achieved">
      <formula>NOT(ISERROR(SEARCH("On Track to be Achieved",E96)))</formula>
    </cfRule>
    <cfRule type="containsText" dxfId="170" priority="299" operator="containsText" text="Fully Achieved">
      <formula>NOT(ISERROR(SEARCH("Fully Achieved",E96)))</formula>
    </cfRule>
    <cfRule type="containsText" dxfId="169" priority="300" operator="containsText" text="Not yet due">
      <formula>NOT(ISERROR(SEARCH("Not yet due",E96)))</formula>
    </cfRule>
    <cfRule type="containsText" dxfId="168" priority="301" operator="containsText" text="Not Yet Due">
      <formula>NOT(ISERROR(SEARCH("Not Yet Due",E96)))</formula>
    </cfRule>
    <cfRule type="containsText" dxfId="167" priority="302" operator="containsText" text="Deferred">
      <formula>NOT(ISERROR(SEARCH("Deferred",E96)))</formula>
    </cfRule>
    <cfRule type="containsText" dxfId="166" priority="303" operator="containsText" text="Deleted">
      <formula>NOT(ISERROR(SEARCH("Deleted",E96)))</formula>
    </cfRule>
    <cfRule type="containsText" dxfId="165" priority="304" operator="containsText" text="In Danger of Falling Behind Target">
      <formula>NOT(ISERROR(SEARCH("In Danger of Falling Behind Target",E96)))</formula>
    </cfRule>
    <cfRule type="containsText" dxfId="164" priority="305" operator="containsText" text="Not yet due">
      <formula>NOT(ISERROR(SEARCH("Not yet due",E96)))</formula>
    </cfRule>
    <cfRule type="containsText" dxfId="163" priority="306" operator="containsText" text="Completed Behind Schedule">
      <formula>NOT(ISERROR(SEARCH("Completed Behind Schedule",E96)))</formula>
    </cfRule>
    <cfRule type="containsText" dxfId="162" priority="307" operator="containsText" text="Off Target">
      <formula>NOT(ISERROR(SEARCH("Off Target",E96)))</formula>
    </cfRule>
    <cfRule type="containsText" dxfId="161" priority="308" operator="containsText" text="In Danger of Falling Behind Target">
      <formula>NOT(ISERROR(SEARCH("In Danger of Falling Behind Target",E96)))</formula>
    </cfRule>
    <cfRule type="containsText" dxfId="160" priority="309" operator="containsText" text="On Track to be Achieved">
      <formula>NOT(ISERROR(SEARCH("On Track to be Achieved",E96)))</formula>
    </cfRule>
    <cfRule type="containsText" dxfId="159" priority="310" operator="containsText" text="Fully Achieved">
      <formula>NOT(ISERROR(SEARCH("Fully Achieved",E96)))</formula>
    </cfRule>
    <cfRule type="containsText" dxfId="158" priority="311" operator="containsText" text="Update not Provided">
      <formula>NOT(ISERROR(SEARCH("Update not Provided",E96)))</formula>
    </cfRule>
    <cfRule type="containsText" dxfId="157" priority="312" operator="containsText" text="Not yet due">
      <formula>NOT(ISERROR(SEARCH("Not yet due",E96)))</formula>
    </cfRule>
    <cfRule type="containsText" dxfId="156" priority="313" operator="containsText" text="Completed Behind Schedule">
      <formula>NOT(ISERROR(SEARCH("Completed Behind Schedule",E96)))</formula>
    </cfRule>
    <cfRule type="containsText" dxfId="155" priority="314" operator="containsText" text="Off Target">
      <formula>NOT(ISERROR(SEARCH("Off Target",E96)))</formula>
    </cfRule>
    <cfRule type="containsText" dxfId="154" priority="315" operator="containsText" text="In Danger of Falling Behind Target">
      <formula>NOT(ISERROR(SEARCH("In Danger of Falling Behind Target",E96)))</formula>
    </cfRule>
    <cfRule type="containsText" dxfId="153" priority="316" operator="containsText" text="On Track to be Achieved">
      <formula>NOT(ISERROR(SEARCH("On Track to be Achieved",E96)))</formula>
    </cfRule>
    <cfRule type="containsText" dxfId="152" priority="317" operator="containsText" text="Fully Achieved">
      <formula>NOT(ISERROR(SEARCH("Fully Achieved",E96)))</formula>
    </cfRule>
    <cfRule type="containsText" dxfId="151" priority="318" operator="containsText" text="Fully Achieved">
      <formula>NOT(ISERROR(SEARCH("Fully Achieved",E96)))</formula>
    </cfRule>
    <cfRule type="containsText" dxfId="150" priority="319" operator="containsText" text="Fully Achieved">
      <formula>NOT(ISERROR(SEARCH("Fully Achieved",E96)))</formula>
    </cfRule>
    <cfRule type="containsText" dxfId="149" priority="320" operator="containsText" text="Deferred">
      <formula>NOT(ISERROR(SEARCH("Deferred",E96)))</formula>
    </cfRule>
    <cfRule type="containsText" dxfId="148" priority="321" operator="containsText" text="Deleted">
      <formula>NOT(ISERROR(SEARCH("Deleted",E96)))</formula>
    </cfRule>
    <cfRule type="containsText" dxfId="147" priority="322" operator="containsText" text="In Danger of Falling Behind Target">
      <formula>NOT(ISERROR(SEARCH("In Danger of Falling Behind Target",E96)))</formula>
    </cfRule>
    <cfRule type="containsText" dxfId="146" priority="323" operator="containsText" text="Not yet due">
      <formula>NOT(ISERROR(SEARCH("Not yet due",E96)))</formula>
    </cfRule>
    <cfRule type="containsText" dxfId="145" priority="324" operator="containsText" text="Update not Provided">
      <formula>NOT(ISERROR(SEARCH("Update not Provided",E96)))</formula>
    </cfRule>
  </conditionalFormatting>
  <conditionalFormatting sqref="E99:E101">
    <cfRule type="containsText" dxfId="144" priority="253" operator="containsText" text="On track to be achieved">
      <formula>NOT(ISERROR(SEARCH("On track to be achieved",E99)))</formula>
    </cfRule>
    <cfRule type="containsText" dxfId="143" priority="254" operator="containsText" text="Deferred">
      <formula>NOT(ISERROR(SEARCH("Deferred",E99)))</formula>
    </cfRule>
    <cfRule type="containsText" dxfId="142" priority="255" operator="containsText" text="Deleted">
      <formula>NOT(ISERROR(SEARCH("Deleted",E99)))</formula>
    </cfRule>
    <cfRule type="containsText" dxfId="141" priority="256" operator="containsText" text="In Danger of Falling Behind Target">
      <formula>NOT(ISERROR(SEARCH("In Danger of Falling Behind Target",E99)))</formula>
    </cfRule>
    <cfRule type="containsText" dxfId="140" priority="257" operator="containsText" text="Not yet due">
      <formula>NOT(ISERROR(SEARCH("Not yet due",E99)))</formula>
    </cfRule>
    <cfRule type="containsText" dxfId="139" priority="258" operator="containsText" text="Update not Provided">
      <formula>NOT(ISERROR(SEARCH("Update not Provided",E99)))</formula>
    </cfRule>
    <cfRule type="containsText" dxfId="138" priority="259" operator="containsText" text="Not yet due">
      <formula>NOT(ISERROR(SEARCH("Not yet due",E99)))</formula>
    </cfRule>
    <cfRule type="containsText" dxfId="137" priority="260" operator="containsText" text="Completed Behind Schedule">
      <formula>NOT(ISERROR(SEARCH("Completed Behind Schedule",E99)))</formula>
    </cfRule>
    <cfRule type="containsText" dxfId="136" priority="261" operator="containsText" text="Off Target">
      <formula>NOT(ISERROR(SEARCH("Off Target",E99)))</formula>
    </cfRule>
    <cfRule type="containsText" dxfId="135" priority="262" operator="containsText" text="On Track to be Achieved">
      <formula>NOT(ISERROR(SEARCH("On Track to be Achieved",E99)))</formula>
    </cfRule>
    <cfRule type="containsText" dxfId="134" priority="263" operator="containsText" text="Fully Achieved">
      <formula>NOT(ISERROR(SEARCH("Fully Achieved",E99)))</formula>
    </cfRule>
    <cfRule type="containsText" dxfId="133" priority="264" operator="containsText" text="Not yet due">
      <formula>NOT(ISERROR(SEARCH("Not yet due",E99)))</formula>
    </cfRule>
    <cfRule type="containsText" dxfId="132" priority="265" operator="containsText" text="Not Yet Due">
      <formula>NOT(ISERROR(SEARCH("Not Yet Due",E99)))</formula>
    </cfRule>
    <cfRule type="containsText" dxfId="131" priority="266" operator="containsText" text="Deferred">
      <formula>NOT(ISERROR(SEARCH("Deferred",E99)))</formula>
    </cfRule>
    <cfRule type="containsText" dxfId="130" priority="267" operator="containsText" text="Deleted">
      <formula>NOT(ISERROR(SEARCH("Deleted",E99)))</formula>
    </cfRule>
    <cfRule type="containsText" dxfId="129" priority="268" operator="containsText" text="In Danger of Falling Behind Target">
      <formula>NOT(ISERROR(SEARCH("In Danger of Falling Behind Target",E99)))</formula>
    </cfRule>
    <cfRule type="containsText" dxfId="128" priority="269" operator="containsText" text="Not yet due">
      <formula>NOT(ISERROR(SEARCH("Not yet due",E99)))</formula>
    </cfRule>
    <cfRule type="containsText" dxfId="127" priority="270" operator="containsText" text="Completed Behind Schedule">
      <formula>NOT(ISERROR(SEARCH("Completed Behind Schedule",E99)))</formula>
    </cfRule>
    <cfRule type="containsText" dxfId="126" priority="271" operator="containsText" text="Off Target">
      <formula>NOT(ISERROR(SEARCH("Off Target",E99)))</formula>
    </cfRule>
    <cfRule type="containsText" dxfId="125" priority="272" operator="containsText" text="In Danger of Falling Behind Target">
      <formula>NOT(ISERROR(SEARCH("In Danger of Falling Behind Target",E99)))</formula>
    </cfRule>
    <cfRule type="containsText" dxfId="124" priority="273" operator="containsText" text="On Track to be Achieved">
      <formula>NOT(ISERROR(SEARCH("On Track to be Achieved",E99)))</formula>
    </cfRule>
    <cfRule type="containsText" dxfId="123" priority="274" operator="containsText" text="Fully Achieved">
      <formula>NOT(ISERROR(SEARCH("Fully Achieved",E99)))</formula>
    </cfRule>
    <cfRule type="containsText" dxfId="122" priority="275" operator="containsText" text="Update not Provided">
      <formula>NOT(ISERROR(SEARCH("Update not Provided",E99)))</formula>
    </cfRule>
    <cfRule type="containsText" dxfId="121" priority="276" operator="containsText" text="Not yet due">
      <formula>NOT(ISERROR(SEARCH("Not yet due",E99)))</formula>
    </cfRule>
    <cfRule type="containsText" dxfId="120" priority="277" operator="containsText" text="Completed Behind Schedule">
      <formula>NOT(ISERROR(SEARCH("Completed Behind Schedule",E99)))</formula>
    </cfRule>
    <cfRule type="containsText" dxfId="119" priority="278" operator="containsText" text="Off Target">
      <formula>NOT(ISERROR(SEARCH("Off Target",E99)))</formula>
    </cfRule>
    <cfRule type="containsText" dxfId="118" priority="279" operator="containsText" text="In Danger of Falling Behind Target">
      <formula>NOT(ISERROR(SEARCH("In Danger of Falling Behind Target",E99)))</formula>
    </cfRule>
    <cfRule type="containsText" dxfId="117" priority="280" operator="containsText" text="On Track to be Achieved">
      <formula>NOT(ISERROR(SEARCH("On Track to be Achieved",E99)))</formula>
    </cfRule>
    <cfRule type="containsText" dxfId="116" priority="281" operator="containsText" text="Fully Achieved">
      <formula>NOT(ISERROR(SEARCH("Fully Achieved",E99)))</formula>
    </cfRule>
    <cfRule type="containsText" dxfId="115" priority="282" operator="containsText" text="Fully Achieved">
      <formula>NOT(ISERROR(SEARCH("Fully Achieved",E99)))</formula>
    </cfRule>
    <cfRule type="containsText" dxfId="114" priority="283" operator="containsText" text="Fully Achieved">
      <formula>NOT(ISERROR(SEARCH("Fully Achieved",E99)))</formula>
    </cfRule>
    <cfRule type="containsText" dxfId="113" priority="284" operator="containsText" text="Deferred">
      <formula>NOT(ISERROR(SEARCH("Deferred",E99)))</formula>
    </cfRule>
    <cfRule type="containsText" dxfId="112" priority="285" operator="containsText" text="Deleted">
      <formula>NOT(ISERROR(SEARCH("Deleted",E99)))</formula>
    </cfRule>
    <cfRule type="containsText" dxfId="111" priority="286" operator="containsText" text="In Danger of Falling Behind Target">
      <formula>NOT(ISERROR(SEARCH("In Danger of Falling Behind Target",E99)))</formula>
    </cfRule>
    <cfRule type="containsText" dxfId="110" priority="287" operator="containsText" text="Not yet due">
      <formula>NOT(ISERROR(SEARCH("Not yet due",E99)))</formula>
    </cfRule>
    <cfRule type="containsText" dxfId="109" priority="288" operator="containsText" text="Update not Provided">
      <formula>NOT(ISERROR(SEARCH("Update not Provided",E99)))</formula>
    </cfRule>
  </conditionalFormatting>
  <conditionalFormatting sqref="E104:E109">
    <cfRule type="containsText" dxfId="108" priority="217" operator="containsText" text="On track to be achieved">
      <formula>NOT(ISERROR(SEARCH("On track to be achieved",E104)))</formula>
    </cfRule>
    <cfRule type="containsText" dxfId="107" priority="218" operator="containsText" text="Deferred">
      <formula>NOT(ISERROR(SEARCH("Deferred",E104)))</formula>
    </cfRule>
    <cfRule type="containsText" dxfId="106" priority="219" operator="containsText" text="Deleted">
      <formula>NOT(ISERROR(SEARCH("Deleted",E104)))</formula>
    </cfRule>
    <cfRule type="containsText" dxfId="105" priority="220" operator="containsText" text="In Danger of Falling Behind Target">
      <formula>NOT(ISERROR(SEARCH("In Danger of Falling Behind Target",E104)))</formula>
    </cfRule>
    <cfRule type="containsText" dxfId="104" priority="221" operator="containsText" text="Not yet due">
      <formula>NOT(ISERROR(SEARCH("Not yet due",E104)))</formula>
    </cfRule>
    <cfRule type="containsText" dxfId="103" priority="222" operator="containsText" text="Update not Provided">
      <formula>NOT(ISERROR(SEARCH("Update not Provided",E104)))</formula>
    </cfRule>
    <cfRule type="containsText" dxfId="102" priority="223" operator="containsText" text="Not yet due">
      <formula>NOT(ISERROR(SEARCH("Not yet due",E104)))</formula>
    </cfRule>
    <cfRule type="containsText" dxfId="101" priority="224" operator="containsText" text="Completed Behind Schedule">
      <formula>NOT(ISERROR(SEARCH("Completed Behind Schedule",E104)))</formula>
    </cfRule>
    <cfRule type="containsText" dxfId="100" priority="225" operator="containsText" text="Off Target">
      <formula>NOT(ISERROR(SEARCH("Off Target",E104)))</formula>
    </cfRule>
    <cfRule type="containsText" dxfId="99" priority="226" operator="containsText" text="On Track to be Achieved">
      <formula>NOT(ISERROR(SEARCH("On Track to be Achieved",E104)))</formula>
    </cfRule>
    <cfRule type="containsText" dxfId="98" priority="227" operator="containsText" text="Fully Achieved">
      <formula>NOT(ISERROR(SEARCH("Fully Achieved",E104)))</formula>
    </cfRule>
    <cfRule type="containsText" dxfId="97" priority="228" operator="containsText" text="Not yet due">
      <formula>NOT(ISERROR(SEARCH("Not yet due",E104)))</formula>
    </cfRule>
    <cfRule type="containsText" dxfId="96" priority="229" operator="containsText" text="Not Yet Due">
      <formula>NOT(ISERROR(SEARCH("Not Yet Due",E104)))</formula>
    </cfRule>
    <cfRule type="containsText" dxfId="95" priority="230" operator="containsText" text="Deferred">
      <formula>NOT(ISERROR(SEARCH("Deferred",E104)))</formula>
    </cfRule>
    <cfRule type="containsText" dxfId="94" priority="231" operator="containsText" text="Deleted">
      <formula>NOT(ISERROR(SEARCH("Deleted",E104)))</formula>
    </cfRule>
    <cfRule type="containsText" dxfId="93" priority="232" operator="containsText" text="In Danger of Falling Behind Target">
      <formula>NOT(ISERROR(SEARCH("In Danger of Falling Behind Target",E104)))</formula>
    </cfRule>
    <cfRule type="containsText" dxfId="92" priority="233" operator="containsText" text="Not yet due">
      <formula>NOT(ISERROR(SEARCH("Not yet due",E104)))</formula>
    </cfRule>
    <cfRule type="containsText" dxfId="91" priority="234" operator="containsText" text="Completed Behind Schedule">
      <formula>NOT(ISERROR(SEARCH("Completed Behind Schedule",E104)))</formula>
    </cfRule>
    <cfRule type="containsText" dxfId="90" priority="235" operator="containsText" text="Off Target">
      <formula>NOT(ISERROR(SEARCH("Off Target",E104)))</formula>
    </cfRule>
    <cfRule type="containsText" dxfId="89" priority="236" operator="containsText" text="In Danger of Falling Behind Target">
      <formula>NOT(ISERROR(SEARCH("In Danger of Falling Behind Target",E104)))</formula>
    </cfRule>
    <cfRule type="containsText" dxfId="88" priority="237" operator="containsText" text="On Track to be Achieved">
      <formula>NOT(ISERROR(SEARCH("On Track to be Achieved",E104)))</formula>
    </cfRule>
    <cfRule type="containsText" dxfId="87" priority="238" operator="containsText" text="Fully Achieved">
      <formula>NOT(ISERROR(SEARCH("Fully Achieved",E104)))</formula>
    </cfRule>
    <cfRule type="containsText" dxfId="86" priority="239" operator="containsText" text="Update not Provided">
      <formula>NOT(ISERROR(SEARCH("Update not Provided",E104)))</formula>
    </cfRule>
    <cfRule type="containsText" dxfId="85" priority="240" operator="containsText" text="Not yet due">
      <formula>NOT(ISERROR(SEARCH("Not yet due",E104)))</formula>
    </cfRule>
    <cfRule type="containsText" dxfId="84" priority="241" operator="containsText" text="Completed Behind Schedule">
      <formula>NOT(ISERROR(SEARCH("Completed Behind Schedule",E104)))</formula>
    </cfRule>
    <cfRule type="containsText" dxfId="83" priority="242" operator="containsText" text="Off Target">
      <formula>NOT(ISERROR(SEARCH("Off Target",E104)))</formula>
    </cfRule>
    <cfRule type="containsText" dxfId="82" priority="243" operator="containsText" text="In Danger of Falling Behind Target">
      <formula>NOT(ISERROR(SEARCH("In Danger of Falling Behind Target",E104)))</formula>
    </cfRule>
    <cfRule type="containsText" dxfId="81" priority="244" operator="containsText" text="On Track to be Achieved">
      <formula>NOT(ISERROR(SEARCH("On Track to be Achieved",E104)))</formula>
    </cfRule>
    <cfRule type="containsText" dxfId="80" priority="245" operator="containsText" text="Fully Achieved">
      <formula>NOT(ISERROR(SEARCH("Fully Achieved",E104)))</formula>
    </cfRule>
    <cfRule type="containsText" dxfId="79" priority="246" operator="containsText" text="Fully Achieved">
      <formula>NOT(ISERROR(SEARCH("Fully Achieved",E104)))</formula>
    </cfRule>
    <cfRule type="containsText" dxfId="78" priority="247" operator="containsText" text="Fully Achieved">
      <formula>NOT(ISERROR(SEARCH("Fully Achieved",E104)))</formula>
    </cfRule>
    <cfRule type="containsText" dxfId="77" priority="248" operator="containsText" text="Deferred">
      <formula>NOT(ISERROR(SEARCH("Deferred",E104)))</formula>
    </cfRule>
    <cfRule type="containsText" dxfId="76" priority="249" operator="containsText" text="Deleted">
      <formula>NOT(ISERROR(SEARCH("Deleted",E104)))</formula>
    </cfRule>
    <cfRule type="containsText" dxfId="75" priority="250" operator="containsText" text="In Danger of Falling Behind Target">
      <formula>NOT(ISERROR(SEARCH("In Danger of Falling Behind Target",E104)))</formula>
    </cfRule>
    <cfRule type="containsText" dxfId="74" priority="251" operator="containsText" text="Not yet due">
      <formula>NOT(ISERROR(SEARCH("Not yet due",E104)))</formula>
    </cfRule>
    <cfRule type="containsText" dxfId="73" priority="252" operator="containsText" text="Update not Provided">
      <formula>NOT(ISERROR(SEARCH("Update not Provided",E104)))</formula>
    </cfRule>
  </conditionalFormatting>
  <conditionalFormatting sqref="E7">
    <cfRule type="containsText" dxfId="72" priority="1" operator="containsText" text="On track to be achieved">
      <formula>NOT(ISERROR(SEARCH("On track to be achieved",E7)))</formula>
    </cfRule>
    <cfRule type="containsText" dxfId="71" priority="2" operator="containsText" text="Deferred">
      <formula>NOT(ISERROR(SEARCH("Deferred",E7)))</formula>
    </cfRule>
    <cfRule type="containsText" dxfId="70" priority="3" operator="containsText" text="Deleted">
      <formula>NOT(ISERROR(SEARCH("Deleted",E7)))</formula>
    </cfRule>
    <cfRule type="containsText" dxfId="69" priority="4" operator="containsText" text="In Danger of Falling Behind Target">
      <formula>NOT(ISERROR(SEARCH("In Danger of Falling Behind Target",E7)))</formula>
    </cfRule>
    <cfRule type="containsText" dxfId="68" priority="5" operator="containsText" text="Not yet due">
      <formula>NOT(ISERROR(SEARCH("Not yet due",E7)))</formula>
    </cfRule>
    <cfRule type="containsText" dxfId="67" priority="6" operator="containsText" text="Update not Provided">
      <formula>NOT(ISERROR(SEARCH("Update not Provided",E7)))</formula>
    </cfRule>
    <cfRule type="containsText" dxfId="66" priority="7" operator="containsText" text="Not yet due">
      <formula>NOT(ISERROR(SEARCH("Not yet due",E7)))</formula>
    </cfRule>
    <cfRule type="containsText" dxfId="65" priority="8" operator="containsText" text="Completed Behind Schedule">
      <formula>NOT(ISERROR(SEARCH("Completed Behind Schedule",E7)))</formula>
    </cfRule>
    <cfRule type="containsText" dxfId="64" priority="9" operator="containsText" text="Off Target">
      <formula>NOT(ISERROR(SEARCH("Off Target",E7)))</formula>
    </cfRule>
    <cfRule type="containsText" dxfId="63" priority="10" operator="containsText" text="On Track to be Achieved">
      <formula>NOT(ISERROR(SEARCH("On Track to be Achieved",E7)))</formula>
    </cfRule>
    <cfRule type="containsText" dxfId="62" priority="11" operator="containsText" text="Fully Achieved">
      <formula>NOT(ISERROR(SEARCH("Fully Achieved",E7)))</formula>
    </cfRule>
    <cfRule type="containsText" dxfId="61" priority="12" operator="containsText" text="Not yet due">
      <formula>NOT(ISERROR(SEARCH("Not yet due",E7)))</formula>
    </cfRule>
    <cfRule type="containsText" dxfId="60" priority="13" operator="containsText" text="Not Yet Due">
      <formula>NOT(ISERROR(SEARCH("Not Yet Due",E7)))</formula>
    </cfRule>
    <cfRule type="containsText" dxfId="59" priority="14" operator="containsText" text="Deferred">
      <formula>NOT(ISERROR(SEARCH("Deferred",E7)))</formula>
    </cfRule>
    <cfRule type="containsText" dxfId="58" priority="15" operator="containsText" text="Deleted">
      <formula>NOT(ISERROR(SEARCH("Deleted",E7)))</formula>
    </cfRule>
    <cfRule type="containsText" dxfId="57" priority="16" operator="containsText" text="In Danger of Falling Behind Target">
      <formula>NOT(ISERROR(SEARCH("In Danger of Falling Behind Target",E7)))</formula>
    </cfRule>
    <cfRule type="containsText" dxfId="56" priority="17" operator="containsText" text="Not yet due">
      <formula>NOT(ISERROR(SEARCH("Not yet due",E7)))</formula>
    </cfRule>
    <cfRule type="containsText" dxfId="55" priority="18" operator="containsText" text="Completed Behind Schedule">
      <formula>NOT(ISERROR(SEARCH("Completed Behind Schedule",E7)))</formula>
    </cfRule>
    <cfRule type="containsText" dxfId="54" priority="19" operator="containsText" text="Off Target">
      <formula>NOT(ISERROR(SEARCH("Off Target",E7)))</formula>
    </cfRule>
    <cfRule type="containsText" dxfId="53" priority="20" operator="containsText" text="In Danger of Falling Behind Target">
      <formula>NOT(ISERROR(SEARCH("In Danger of Falling Behind Target",E7)))</formula>
    </cfRule>
    <cfRule type="containsText" dxfId="52" priority="21" operator="containsText" text="On Track to be Achieved">
      <formula>NOT(ISERROR(SEARCH("On Track to be Achieved",E7)))</formula>
    </cfRule>
    <cfRule type="containsText" dxfId="51" priority="22" operator="containsText" text="Fully Achieved">
      <formula>NOT(ISERROR(SEARCH("Fully Achieved",E7)))</formula>
    </cfRule>
    <cfRule type="containsText" dxfId="50" priority="23" operator="containsText" text="Update not Provided">
      <formula>NOT(ISERROR(SEARCH("Update not Provided",E7)))</formula>
    </cfRule>
    <cfRule type="containsText" dxfId="49" priority="24" operator="containsText" text="Not yet due">
      <formula>NOT(ISERROR(SEARCH("Not yet due",E7)))</formula>
    </cfRule>
    <cfRule type="containsText" dxfId="48" priority="25" operator="containsText" text="Completed Behind Schedule">
      <formula>NOT(ISERROR(SEARCH("Completed Behind Schedule",E7)))</formula>
    </cfRule>
    <cfRule type="containsText" dxfId="47" priority="26" operator="containsText" text="Off Target">
      <formula>NOT(ISERROR(SEARCH("Off Target",E7)))</formula>
    </cfRule>
    <cfRule type="containsText" dxfId="46" priority="27" operator="containsText" text="In Danger of Falling Behind Target">
      <formula>NOT(ISERROR(SEARCH("In Danger of Falling Behind Target",E7)))</formula>
    </cfRule>
    <cfRule type="containsText" dxfId="45" priority="28" operator="containsText" text="On Track to be Achieved">
      <formula>NOT(ISERROR(SEARCH("On Track to be Achieved",E7)))</formula>
    </cfRule>
    <cfRule type="containsText" dxfId="44" priority="29" operator="containsText" text="Fully Achieved">
      <formula>NOT(ISERROR(SEARCH("Fully Achieved",E7)))</formula>
    </cfRule>
    <cfRule type="containsText" dxfId="43" priority="30" operator="containsText" text="Fully Achieved">
      <formula>NOT(ISERROR(SEARCH("Fully Achieved",E7)))</formula>
    </cfRule>
    <cfRule type="containsText" dxfId="42" priority="31" operator="containsText" text="Fully Achieved">
      <formula>NOT(ISERROR(SEARCH("Fully Achieved",E7)))</formula>
    </cfRule>
    <cfRule type="containsText" dxfId="41" priority="32" operator="containsText" text="Deferred">
      <formula>NOT(ISERROR(SEARCH("Deferred",E7)))</formula>
    </cfRule>
    <cfRule type="containsText" dxfId="40" priority="33" operator="containsText" text="Deleted">
      <formula>NOT(ISERROR(SEARCH("Deleted",E7)))</formula>
    </cfRule>
    <cfRule type="containsText" dxfId="39" priority="34" operator="containsText" text="In Danger of Falling Behind Target">
      <formula>NOT(ISERROR(SEARCH("In Danger of Falling Behind Target",E7)))</formula>
    </cfRule>
    <cfRule type="containsText" dxfId="38" priority="35" operator="containsText" text="Not yet due">
      <formula>NOT(ISERROR(SEARCH("Not yet due",E7)))</formula>
    </cfRule>
    <cfRule type="containsText" dxfId="37"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heetViews>
  <sheetFormatPr defaultRowHeight="15"/>
  <cols>
    <col min="1" max="1" width="17" bestFit="1" customWidth="1"/>
  </cols>
  <sheetData>
    <row r="1" spans="1:3">
      <c r="A1" s="134"/>
      <c r="B1" s="135"/>
      <c r="C1" s="136"/>
    </row>
    <row r="2" spans="1:3">
      <c r="A2" s="137"/>
      <c r="B2" s="138"/>
      <c r="C2" s="139"/>
    </row>
    <row r="3" spans="1:3">
      <c r="A3" s="137"/>
      <c r="B3" s="138"/>
      <c r="C3" s="139"/>
    </row>
    <row r="4" spans="1:3">
      <c r="A4" s="137"/>
      <c r="B4" s="138"/>
      <c r="C4" s="139"/>
    </row>
    <row r="5" spans="1:3">
      <c r="A5" s="137"/>
      <c r="B5" s="138"/>
      <c r="C5" s="139"/>
    </row>
    <row r="6" spans="1:3">
      <c r="A6" s="137"/>
      <c r="B6" s="138"/>
      <c r="C6" s="139"/>
    </row>
    <row r="7" spans="1:3">
      <c r="A7" s="137"/>
      <c r="B7" s="138"/>
      <c r="C7" s="139"/>
    </row>
    <row r="8" spans="1:3">
      <c r="A8" s="137"/>
      <c r="B8" s="138"/>
      <c r="C8" s="139"/>
    </row>
    <row r="9" spans="1:3">
      <c r="A9" s="137"/>
      <c r="B9" s="138"/>
      <c r="C9" s="139"/>
    </row>
    <row r="10" spans="1:3">
      <c r="A10" s="137"/>
      <c r="B10" s="138"/>
      <c r="C10" s="139"/>
    </row>
    <row r="11" spans="1:3">
      <c r="A11" s="137"/>
      <c r="B11" s="138"/>
      <c r="C11" s="139"/>
    </row>
    <row r="12" spans="1:3">
      <c r="A12" s="137"/>
      <c r="B12" s="138"/>
      <c r="C12" s="139"/>
    </row>
    <row r="13" spans="1:3">
      <c r="A13" s="137"/>
      <c r="B13" s="138"/>
      <c r="C13" s="139"/>
    </row>
    <row r="14" spans="1:3">
      <c r="A14" s="137"/>
      <c r="B14" s="138"/>
      <c r="C14" s="139"/>
    </row>
    <row r="15" spans="1:3">
      <c r="A15" s="137"/>
      <c r="B15" s="138"/>
      <c r="C15" s="139"/>
    </row>
    <row r="16" spans="1:3">
      <c r="A16" s="137"/>
      <c r="B16" s="138"/>
      <c r="C16" s="139"/>
    </row>
    <row r="17" spans="1:3">
      <c r="A17" s="137"/>
      <c r="B17" s="138"/>
      <c r="C17" s="139"/>
    </row>
    <row r="18" spans="1:3">
      <c r="A18" s="140"/>
      <c r="B18" s="141"/>
      <c r="C18" s="14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8"/>
  <sheetViews>
    <sheetView zoomScale="60" zoomScaleNormal="60" workbookViewId="0">
      <selection activeCell="C16" sqref="C16"/>
    </sheetView>
  </sheetViews>
  <sheetFormatPr defaultColWidth="9.28515625" defaultRowHeight="15"/>
  <cols>
    <col min="1" max="1" width="9.28515625" style="30"/>
    <col min="2" max="2" width="49.5703125" style="4" customWidth="1"/>
    <col min="3" max="3" width="27.28515625" style="4" customWidth="1"/>
    <col min="4" max="4" width="27.28515625" style="53" customWidth="1"/>
    <col min="5" max="8" width="27.28515625" style="4" customWidth="1"/>
    <col min="9" max="40" width="9.28515625" style="30"/>
    <col min="41" max="16384" width="9.28515625" style="4"/>
  </cols>
  <sheetData>
    <row r="1" spans="1:40" s="30" customFormat="1" ht="33" customHeight="1" thickBot="1">
      <c r="B1" s="31"/>
      <c r="D1" s="32"/>
    </row>
    <row r="2" spans="1:40" ht="40.5" customHeight="1" thickTop="1" thickBot="1">
      <c r="B2" s="406" t="s">
        <v>410</v>
      </c>
      <c r="C2" s="408" t="s">
        <v>55</v>
      </c>
      <c r="D2" s="409"/>
      <c r="E2" s="410" t="s">
        <v>56</v>
      </c>
      <c r="F2" s="411"/>
      <c r="G2" s="412" t="s">
        <v>57</v>
      </c>
      <c r="H2" s="412"/>
    </row>
    <row r="3" spans="1:40" ht="50.25" customHeight="1" thickTop="1" thickBot="1">
      <c r="B3" s="407"/>
      <c r="C3" s="33" t="s">
        <v>58</v>
      </c>
      <c r="D3" s="34" t="s">
        <v>59</v>
      </c>
      <c r="E3" s="35" t="s">
        <v>58</v>
      </c>
      <c r="F3" s="36" t="s">
        <v>59</v>
      </c>
      <c r="G3" s="54" t="s">
        <v>58</v>
      </c>
      <c r="H3" s="55" t="s">
        <v>59</v>
      </c>
    </row>
    <row r="4" spans="1:40" s="41" customFormat="1" ht="21.75" thickTop="1" thickBot="1">
      <c r="A4" s="37"/>
      <c r="B4" s="38" t="s">
        <v>60</v>
      </c>
      <c r="C4" s="1"/>
      <c r="D4" s="39"/>
      <c r="E4" s="1"/>
      <c r="F4" s="1"/>
      <c r="G4" s="1"/>
      <c r="H4" s="40"/>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row>
    <row r="5" spans="1:40" s="47" customFormat="1" ht="37.5" customHeight="1" thickTop="1" thickBot="1">
      <c r="A5" s="42"/>
      <c r="B5" s="43" t="s">
        <v>61</v>
      </c>
      <c r="C5" s="44">
        <f>'2a. % By Priority'!C5+'2a. % By Priority'!C6</f>
        <v>83</v>
      </c>
      <c r="D5" s="45">
        <f>'2a. % By Priority'!G5</f>
        <v>0.93258426966292141</v>
      </c>
      <c r="E5" s="46">
        <f>'2a. % By Priority'!C7</f>
        <v>6</v>
      </c>
      <c r="F5" s="36">
        <f>'2a. % By Priority'!G7</f>
        <v>6.741573033707865E-2</v>
      </c>
      <c r="G5" s="56">
        <f>'2a. % By Priority'!C10+'2a. % By Priority'!C11</f>
        <v>0</v>
      </c>
      <c r="H5" s="57">
        <f>'2a. % By Priority'!G10</f>
        <v>0</v>
      </c>
      <c r="I5" s="42"/>
      <c r="J5" s="226"/>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row>
    <row r="6" spans="1:40" s="47" customFormat="1" ht="21.75" thickTop="1" thickBot="1">
      <c r="A6" s="42"/>
      <c r="B6" s="48" t="s">
        <v>62</v>
      </c>
      <c r="C6" s="49"/>
      <c r="D6" s="50"/>
      <c r="E6" s="49"/>
      <c r="F6" s="50"/>
      <c r="G6" s="49"/>
      <c r="H6" s="51"/>
      <c r="I6" s="42"/>
      <c r="J6" s="226"/>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row>
    <row r="7" spans="1:40" s="47" customFormat="1" ht="37.5" customHeight="1" thickTop="1" thickBot="1">
      <c r="A7" s="42"/>
      <c r="B7" s="43" t="s">
        <v>411</v>
      </c>
      <c r="C7" s="44">
        <f>'2a. % By Priority'!C23+'2a. % By Priority'!C24</f>
        <v>3</v>
      </c>
      <c r="D7" s="45">
        <f>'2a. % By Priority'!G23</f>
        <v>1</v>
      </c>
      <c r="E7" s="52">
        <f>'2a. % By Priority'!C25</f>
        <v>0</v>
      </c>
      <c r="F7" s="36">
        <f>'2a. % By Priority'!G25</f>
        <v>0</v>
      </c>
      <c r="G7" s="56">
        <f>'2a. % By Priority'!C28+'2a. % By Priority'!C29</f>
        <v>0</v>
      </c>
      <c r="H7" s="57">
        <f>'2a. % By Priority'!G28</f>
        <v>0</v>
      </c>
      <c r="I7" s="42"/>
      <c r="J7" s="226"/>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row>
    <row r="8" spans="1:40" s="47" customFormat="1" ht="37.5" customHeight="1" thickTop="1" thickBot="1">
      <c r="A8" s="42"/>
      <c r="B8" s="43" t="s">
        <v>404</v>
      </c>
      <c r="C8" s="44">
        <f>'2a. % By Priority'!C41+'2a. % By Priority'!C42</f>
        <v>7</v>
      </c>
      <c r="D8" s="45">
        <f>'2a. % By Priority'!G41</f>
        <v>1</v>
      </c>
      <c r="E8" s="52">
        <f>'2a. % By Priority'!C43</f>
        <v>0</v>
      </c>
      <c r="F8" s="36">
        <f>'2a. % By Priority'!G43</f>
        <v>0</v>
      </c>
      <c r="G8" s="56">
        <f>'2a. % By Priority'!C46+'2a. % By Priority'!C47</f>
        <v>0</v>
      </c>
      <c r="H8" s="57">
        <f>'2a. % By Priority'!G46</f>
        <v>0</v>
      </c>
      <c r="I8" s="42"/>
      <c r="J8" s="226"/>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row>
    <row r="9" spans="1:40" s="47" customFormat="1" ht="37.5" customHeight="1" thickTop="1" thickBot="1">
      <c r="A9" s="42"/>
      <c r="B9" s="43" t="s">
        <v>405</v>
      </c>
      <c r="C9" s="44">
        <f>'2a. % By Priority'!C59+'2a. % By Priority'!C60</f>
        <v>6</v>
      </c>
      <c r="D9" s="45">
        <f>'2a. % By Priority'!G59</f>
        <v>0.8571428571428571</v>
      </c>
      <c r="E9" s="52">
        <f>'2a. % By Priority'!C61</f>
        <v>1</v>
      </c>
      <c r="F9" s="36">
        <f>'2a. % By Priority'!G61</f>
        <v>0.14285714285714285</v>
      </c>
      <c r="G9" s="56">
        <f>'2a. % By Priority'!C64+'2a. % By Priority'!C65</f>
        <v>0</v>
      </c>
      <c r="H9" s="57">
        <f>'2a. % By Priority'!G64</f>
        <v>0</v>
      </c>
      <c r="I9" s="42"/>
      <c r="J9" s="226"/>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row>
    <row r="10" spans="1:40" s="47" customFormat="1" ht="37.5" customHeight="1" thickTop="1" thickBot="1">
      <c r="A10" s="42"/>
      <c r="B10" s="260" t="s">
        <v>406</v>
      </c>
      <c r="C10" s="44">
        <f>'2a. % By Priority'!C77+'2a. % By Priority'!C78</f>
        <v>3</v>
      </c>
      <c r="D10" s="45">
        <f>'2a. % By Priority'!G77</f>
        <v>1</v>
      </c>
      <c r="E10" s="52">
        <f>'2a. % By Priority'!C79</f>
        <v>0</v>
      </c>
      <c r="F10" s="36">
        <f>'2a. % By Priority'!G79</f>
        <v>0</v>
      </c>
      <c r="G10" s="56">
        <f>'2a. % By Priority'!C82+'2a. % By Priority'!C83</f>
        <v>0</v>
      </c>
      <c r="H10" s="57">
        <f>'2a. % By Priority'!G82</f>
        <v>0</v>
      </c>
      <c r="I10" s="42"/>
      <c r="J10" s="226"/>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row>
    <row r="11" spans="1:40" s="47" customFormat="1" ht="37.5" customHeight="1" thickTop="1" thickBot="1">
      <c r="A11" s="42"/>
      <c r="B11" s="260" t="s">
        <v>407</v>
      </c>
      <c r="C11" s="44">
        <f>'2a. % By Priority'!C95+'2a. % By Priority'!C96</f>
        <v>3</v>
      </c>
      <c r="D11" s="45">
        <f>'2a. % By Priority'!G95</f>
        <v>1</v>
      </c>
      <c r="E11" s="52">
        <f>'2a. % By Priority'!C97</f>
        <v>0</v>
      </c>
      <c r="F11" s="36">
        <f>'2a. % By Priority'!G97</f>
        <v>0</v>
      </c>
      <c r="G11" s="56">
        <f>'2a. % By Priority'!C100+'2a. % By Priority'!C101</f>
        <v>0</v>
      </c>
      <c r="H11" s="57">
        <f>'2a. % By Priority'!G100</f>
        <v>0</v>
      </c>
      <c r="I11" s="42"/>
      <c r="J11" s="226"/>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row>
    <row r="12" spans="1:40" s="47" customFormat="1" ht="21.75" thickTop="1" thickBot="1">
      <c r="A12" s="42"/>
      <c r="B12" s="48" t="s">
        <v>415</v>
      </c>
      <c r="C12" s="49"/>
      <c r="D12" s="50"/>
      <c r="E12" s="49"/>
      <c r="F12" s="50"/>
      <c r="G12" s="49"/>
      <c r="H12" s="51"/>
      <c r="I12" s="42"/>
      <c r="J12" s="226"/>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row>
    <row r="13" spans="1:40" s="47" customFormat="1" ht="37.5" customHeight="1" thickTop="1" thickBot="1">
      <c r="A13" s="42"/>
      <c r="B13" s="59" t="s">
        <v>202</v>
      </c>
      <c r="C13" s="60">
        <f>'3a. % by Portfolio'!C5+'3a. % by Portfolio'!C6</f>
        <v>17</v>
      </c>
      <c r="D13" s="61">
        <f>'3a. % by Portfolio'!G5</f>
        <v>0.94444444444444442</v>
      </c>
      <c r="E13" s="62">
        <f>'3a. % by Portfolio'!C7</f>
        <v>1</v>
      </c>
      <c r="F13" s="63">
        <f>'3a. % by Portfolio'!G7</f>
        <v>5.5555555555555552E-2</v>
      </c>
      <c r="G13" s="64">
        <f>'3a. % by Portfolio'!C10+'3a. % by Portfolio'!C11</f>
        <v>0</v>
      </c>
      <c r="H13" s="65">
        <f>'3a. % by Portfolio'!G10</f>
        <v>0</v>
      </c>
      <c r="I13" s="42"/>
      <c r="J13" s="226"/>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row>
    <row r="14" spans="1:40" s="47" customFormat="1" ht="37.5" customHeight="1" thickTop="1" thickBot="1">
      <c r="A14" s="42"/>
      <c r="B14" s="59" t="s">
        <v>110</v>
      </c>
      <c r="C14" s="60">
        <f>'3a. % by Portfolio'!C24+'3a. % by Portfolio'!C25</f>
        <v>15</v>
      </c>
      <c r="D14" s="61">
        <f>'3a. % by Portfolio'!G24</f>
        <v>0.83333333333333326</v>
      </c>
      <c r="E14" s="66">
        <f>'3a. % by Portfolio'!C26</f>
        <v>3</v>
      </c>
      <c r="F14" s="63">
        <f>'3a. % by Portfolio'!G26</f>
        <v>0.16666666666666666</v>
      </c>
      <c r="G14" s="64">
        <f>'3a. % by Portfolio'!C29+'3a. % by Portfolio'!C30</f>
        <v>0</v>
      </c>
      <c r="H14" s="65">
        <f>'3a. % by Portfolio'!G29</f>
        <v>0</v>
      </c>
      <c r="I14" s="42"/>
      <c r="J14" s="226"/>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row>
    <row r="15" spans="1:40" s="47" customFormat="1" ht="37.5" customHeight="1" thickTop="1" thickBot="1">
      <c r="A15" s="42"/>
      <c r="B15" s="59" t="s">
        <v>204</v>
      </c>
      <c r="C15" s="60">
        <f>'3a. % by Portfolio'!C42+'3a. % by Portfolio'!C43</f>
        <v>9</v>
      </c>
      <c r="D15" s="61">
        <f>'3a. % by Portfolio'!G42</f>
        <v>1</v>
      </c>
      <c r="E15" s="66">
        <f>'3a. % by Portfolio'!C44</f>
        <v>0</v>
      </c>
      <c r="F15" s="63">
        <f>'3a. % by Portfolio'!G44</f>
        <v>0</v>
      </c>
      <c r="G15" s="64">
        <f>'3a. % by Portfolio'!C47+'3a. % by Portfolio'!C48</f>
        <v>0</v>
      </c>
      <c r="H15" s="65">
        <f>'3a. % by Portfolio'!G47</f>
        <v>0</v>
      </c>
      <c r="I15" s="42"/>
      <c r="J15" s="226"/>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row>
    <row r="16" spans="1:40" s="47" customFormat="1" ht="37.5" customHeight="1" thickTop="1" thickBot="1">
      <c r="A16" s="42"/>
      <c r="B16" s="59" t="s">
        <v>414</v>
      </c>
      <c r="C16" s="60">
        <f>'3a. % by Portfolio'!C60+'3a. % by Portfolio'!C61</f>
        <v>10</v>
      </c>
      <c r="D16" s="61">
        <f>'3a. % by Portfolio'!G60</f>
        <v>1</v>
      </c>
      <c r="E16" s="66">
        <f>'3a. % by Portfolio'!C62</f>
        <v>0</v>
      </c>
      <c r="F16" s="63">
        <f>'3a. % by Portfolio'!G62</f>
        <v>0</v>
      </c>
      <c r="G16" s="64">
        <f>'3a. % by Portfolio'!C65+'3a. % by Portfolio'!C66</f>
        <v>0</v>
      </c>
      <c r="H16" s="65">
        <f>'3a. % by Portfolio'!G65</f>
        <v>0</v>
      </c>
      <c r="I16" s="42"/>
      <c r="J16" s="226"/>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row>
    <row r="17" spans="1:40" s="47" customFormat="1" ht="37.5" customHeight="1" thickTop="1" thickBot="1">
      <c r="A17" s="42"/>
      <c r="B17" s="59" t="s">
        <v>201</v>
      </c>
      <c r="C17" s="60">
        <f>'3a. % by Portfolio'!C78+'3a. % by Portfolio'!C79</f>
        <v>16</v>
      </c>
      <c r="D17" s="61">
        <f>'3a. % by Portfolio'!G78</f>
        <v>0.88888888888888884</v>
      </c>
      <c r="E17" s="66">
        <f>'3a. % by Portfolio'!C80</f>
        <v>2</v>
      </c>
      <c r="F17" s="63">
        <f>'3a. % by Portfolio'!G80</f>
        <v>0.1111111111111111</v>
      </c>
      <c r="G17" s="64">
        <f>'3a. % by Portfolio'!C83+'3a. % by Portfolio'!C84</f>
        <v>0</v>
      </c>
      <c r="H17" s="65">
        <f>'3a. % by Portfolio'!G83</f>
        <v>0</v>
      </c>
      <c r="I17" s="42"/>
      <c r="J17" s="226"/>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row>
    <row r="18" spans="1:40" s="47" customFormat="1" ht="37.5" customHeight="1" thickTop="1" thickBot="1">
      <c r="A18" s="42"/>
      <c r="B18" s="59" t="s">
        <v>109</v>
      </c>
      <c r="C18" s="60">
        <f>'3a. % by Portfolio'!C96+'3a. % by Portfolio'!C97</f>
        <v>16</v>
      </c>
      <c r="D18" s="61">
        <f>'3a. % by Portfolio'!G96</f>
        <v>1</v>
      </c>
      <c r="E18" s="66">
        <f>'3a. % by Portfolio'!C98</f>
        <v>0</v>
      </c>
      <c r="F18" s="63">
        <f>'3a. % by Portfolio'!G98</f>
        <v>0</v>
      </c>
      <c r="G18" s="64">
        <f>'3a. % by Portfolio'!C101+'3a. % by Portfolio'!C102</f>
        <v>0</v>
      </c>
      <c r="H18" s="65">
        <f>'3a. % by Portfolio'!G101</f>
        <v>0</v>
      </c>
      <c r="I18" s="42"/>
      <c r="J18" s="226"/>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row>
    <row r="19" spans="1:40" s="30" customFormat="1" ht="15.75" thickTop="1">
      <c r="D19" s="32"/>
      <c r="E19" s="261"/>
    </row>
    <row r="20" spans="1:40" s="30" customFormat="1">
      <c r="D20" s="32"/>
    </row>
    <row r="21" spans="1:40" s="30" customFormat="1">
      <c r="D21" s="32"/>
    </row>
    <row r="22" spans="1:40" s="30" customFormat="1">
      <c r="D22" s="32"/>
    </row>
    <row r="23" spans="1:40" s="30" customFormat="1">
      <c r="D23" s="32"/>
    </row>
    <row r="24" spans="1:40" s="30" customFormat="1">
      <c r="D24" s="32"/>
    </row>
    <row r="25" spans="1:40" s="30" customFormat="1">
      <c r="D25" s="32"/>
    </row>
    <row r="26" spans="1:40" s="30" customFormat="1">
      <c r="D26" s="32"/>
    </row>
    <row r="27" spans="1:40" s="30" customFormat="1">
      <c r="D27" s="32"/>
    </row>
    <row r="28" spans="1:40" s="30" customFormat="1">
      <c r="D28" s="32"/>
    </row>
    <row r="29" spans="1:40" s="30" customFormat="1">
      <c r="D29" s="32"/>
    </row>
    <row r="30" spans="1:40" s="30" customFormat="1">
      <c r="D30" s="32"/>
    </row>
    <row r="31" spans="1:40" s="30" customFormat="1">
      <c r="D31" s="32"/>
    </row>
    <row r="32" spans="1:40" s="30" customFormat="1">
      <c r="D32" s="32"/>
    </row>
    <row r="33" spans="4:4" s="30" customFormat="1">
      <c r="D33" s="32"/>
    </row>
    <row r="34" spans="4:4" s="30" customFormat="1">
      <c r="D34" s="32"/>
    </row>
    <row r="35" spans="4:4" s="30" customFormat="1">
      <c r="D35" s="32"/>
    </row>
    <row r="36" spans="4:4" s="30" customFormat="1">
      <c r="D36" s="32"/>
    </row>
    <row r="37" spans="4:4" s="30" customFormat="1">
      <c r="D37" s="32"/>
    </row>
    <row r="38" spans="4:4" s="30" customFormat="1">
      <c r="D38" s="32"/>
    </row>
    <row r="39" spans="4:4" s="30" customFormat="1">
      <c r="D39" s="32"/>
    </row>
    <row r="40" spans="4:4" s="30" customFormat="1">
      <c r="D40" s="32"/>
    </row>
    <row r="41" spans="4:4" s="30" customFormat="1">
      <c r="D41" s="32"/>
    </row>
    <row r="42" spans="4:4" s="30" customFormat="1">
      <c r="D42" s="32"/>
    </row>
    <row r="43" spans="4:4" s="30" customFormat="1">
      <c r="D43" s="32"/>
    </row>
    <row r="44" spans="4:4" s="30" customFormat="1">
      <c r="D44" s="32"/>
    </row>
    <row r="45" spans="4:4" s="30" customFormat="1">
      <c r="D45" s="32"/>
    </row>
    <row r="46" spans="4:4" s="30" customFormat="1">
      <c r="D46" s="32"/>
    </row>
    <row r="47" spans="4:4" s="30" customFormat="1">
      <c r="D47" s="32"/>
    </row>
    <row r="48" spans="4:4" s="30" customFormat="1">
      <c r="D48" s="32"/>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8"/>
  <sheetViews>
    <sheetView zoomScale="60" zoomScaleNormal="60" workbookViewId="0">
      <selection activeCell="B2" sqref="B2:B3"/>
    </sheetView>
  </sheetViews>
  <sheetFormatPr defaultColWidth="9.28515625" defaultRowHeight="15"/>
  <cols>
    <col min="1" max="1" width="9.28515625" style="30"/>
    <col min="2" max="2" width="49.5703125" style="4" customWidth="1"/>
    <col min="3" max="3" width="27.28515625" style="4" customWidth="1"/>
    <col min="4" max="4" width="27.28515625" style="53" customWidth="1"/>
    <col min="5" max="8" width="27.28515625" style="4" customWidth="1"/>
    <col min="9" max="40" width="9.28515625" style="30"/>
    <col min="41" max="16384" width="9.28515625" style="4"/>
  </cols>
  <sheetData>
    <row r="1" spans="1:40" s="30" customFormat="1" ht="33" customHeight="1" thickBot="1">
      <c r="B1" s="31"/>
      <c r="D1" s="32"/>
    </row>
    <row r="2" spans="1:40" ht="40.5" customHeight="1" thickTop="1" thickBot="1">
      <c r="B2" s="406" t="s">
        <v>420</v>
      </c>
      <c r="C2" s="408" t="s">
        <v>55</v>
      </c>
      <c r="D2" s="409"/>
      <c r="E2" s="410" t="s">
        <v>56</v>
      </c>
      <c r="F2" s="411"/>
      <c r="G2" s="412" t="s">
        <v>57</v>
      </c>
      <c r="H2" s="412"/>
    </row>
    <row r="3" spans="1:40" ht="50.25" customHeight="1" thickTop="1" thickBot="1">
      <c r="B3" s="407"/>
      <c r="C3" s="33" t="s">
        <v>58</v>
      </c>
      <c r="D3" s="34" t="s">
        <v>59</v>
      </c>
      <c r="E3" s="35" t="s">
        <v>58</v>
      </c>
      <c r="F3" s="36" t="s">
        <v>59</v>
      </c>
      <c r="G3" s="54" t="s">
        <v>58</v>
      </c>
      <c r="H3" s="55" t="s">
        <v>59</v>
      </c>
    </row>
    <row r="4" spans="1:40" s="41" customFormat="1" ht="21.75" thickTop="1" thickBot="1">
      <c r="A4" s="37"/>
      <c r="B4" s="38" t="s">
        <v>60</v>
      </c>
      <c r="C4" s="1"/>
      <c r="D4" s="39"/>
      <c r="E4" s="1"/>
      <c r="F4" s="1"/>
      <c r="G4" s="1"/>
      <c r="H4" s="40"/>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row>
    <row r="5" spans="1:40" s="47" customFormat="1" ht="37.5" customHeight="1" thickTop="1" thickBot="1">
      <c r="A5" s="42"/>
      <c r="B5" s="43" t="s">
        <v>61</v>
      </c>
      <c r="C5" s="44">
        <f>'2a. % By Priority'!J5+'2a. % By Priority'!J6</f>
        <v>114</v>
      </c>
      <c r="D5" s="45">
        <f>'2a. % By Priority'!N5</f>
        <v>0.94214876033057848</v>
      </c>
      <c r="E5" s="46">
        <f>'2a. % By Priority'!J7</f>
        <v>2</v>
      </c>
      <c r="F5" s="36">
        <f>'2a. % By Priority'!N7</f>
        <v>1.6528925619834711E-2</v>
      </c>
      <c r="G5" s="56">
        <f>'2a. % By Priority'!J10+'2a. % By Priority'!J11</f>
        <v>5</v>
      </c>
      <c r="H5" s="57">
        <f>'2a. % By Priority'!N10</f>
        <v>4.1322314049586778E-2</v>
      </c>
      <c r="I5" s="42"/>
      <c r="J5" s="226"/>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row>
    <row r="6" spans="1:40" s="47" customFormat="1" ht="21.75" thickTop="1" thickBot="1">
      <c r="A6" s="42"/>
      <c r="B6" s="48" t="s">
        <v>62</v>
      </c>
      <c r="C6" s="49"/>
      <c r="D6" s="50"/>
      <c r="E6" s="49"/>
      <c r="F6" s="50"/>
      <c r="G6" s="49"/>
      <c r="H6" s="51"/>
      <c r="I6" s="42"/>
      <c r="J6" s="226"/>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row>
    <row r="7" spans="1:40" s="47" customFormat="1" ht="37.5" customHeight="1" thickTop="1" thickBot="1">
      <c r="A7" s="42"/>
      <c r="B7" s="43" t="s">
        <v>411</v>
      </c>
      <c r="C7" s="44">
        <f>'2a. % By Priority'!J23+'2a. % By Priority'!J24</f>
        <v>6</v>
      </c>
      <c r="D7" s="45">
        <f>'2a. % By Priority'!N23</f>
        <v>1</v>
      </c>
      <c r="E7" s="52">
        <f>'2a. % By Priority'!J25</f>
        <v>0</v>
      </c>
      <c r="F7" s="36">
        <f>'2a. % By Priority'!N25</f>
        <v>0</v>
      </c>
      <c r="G7" s="56">
        <f>'2a. % By Priority'!J28+'2a. % By Priority'!J29</f>
        <v>0</v>
      </c>
      <c r="H7" s="57">
        <f>'2a. % By Priority'!N28</f>
        <v>0</v>
      </c>
      <c r="I7" s="42"/>
      <c r="J7" s="226"/>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row>
    <row r="8" spans="1:40" s="47" customFormat="1" ht="37.5" customHeight="1" thickTop="1" thickBot="1">
      <c r="A8" s="42"/>
      <c r="B8" s="43" t="s">
        <v>404</v>
      </c>
      <c r="C8" s="44">
        <f>'2a. % By Priority'!J41+'2a. % By Priority'!J42</f>
        <v>10</v>
      </c>
      <c r="D8" s="45">
        <f>'2a. % By Priority'!N41</f>
        <v>1</v>
      </c>
      <c r="E8" s="52">
        <f>'2a. % By Priority'!J43</f>
        <v>0</v>
      </c>
      <c r="F8" s="36">
        <f>'2a. % By Priority'!N43</f>
        <v>0</v>
      </c>
      <c r="G8" s="56">
        <f>'2a. % By Priority'!J46+'2a. % By Priority'!J47</f>
        <v>0</v>
      </c>
      <c r="H8" s="57">
        <f>'2a. % By Priority'!N46</f>
        <v>0</v>
      </c>
      <c r="I8" s="42"/>
      <c r="J8" s="226"/>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row>
    <row r="9" spans="1:40" s="47" customFormat="1" ht="37.5" customHeight="1" thickTop="1" thickBot="1">
      <c r="A9" s="42"/>
      <c r="B9" s="43" t="s">
        <v>405</v>
      </c>
      <c r="C9" s="44">
        <f>'2a. % By Priority'!J59+'2a. % By Priority'!J60</f>
        <v>10</v>
      </c>
      <c r="D9" s="45">
        <f>'2a. % By Priority'!N59</f>
        <v>1</v>
      </c>
      <c r="E9" s="52">
        <f>'2a. % By Priority'!J61</f>
        <v>0</v>
      </c>
      <c r="F9" s="36">
        <f>'2a. % By Priority'!N61</f>
        <v>0</v>
      </c>
      <c r="G9" s="56">
        <f>'2a. % By Priority'!J64+'2a. % By Priority'!J65</f>
        <v>0</v>
      </c>
      <c r="H9" s="57">
        <f>'2a. % By Priority'!N64</f>
        <v>0</v>
      </c>
      <c r="I9" s="42"/>
      <c r="J9" s="226"/>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row>
    <row r="10" spans="1:40" s="47" customFormat="1" ht="37.5" customHeight="1" thickTop="1" thickBot="1">
      <c r="A10" s="42"/>
      <c r="B10" s="260" t="s">
        <v>406</v>
      </c>
      <c r="C10" s="44">
        <f>'2a. % By Priority'!J77+'2a. % By Priority'!J78</f>
        <v>4</v>
      </c>
      <c r="D10" s="45">
        <f>'2a. % By Priority'!N77</f>
        <v>1</v>
      </c>
      <c r="E10" s="52">
        <f>'2a. % By Priority'!J79</f>
        <v>0</v>
      </c>
      <c r="F10" s="36">
        <f>'2a. % By Priority'!N79</f>
        <v>0</v>
      </c>
      <c r="G10" s="56">
        <f>'2a. % By Priority'!J82+'2a. % By Priority'!J83</f>
        <v>0</v>
      </c>
      <c r="H10" s="57">
        <f>'2a. % By Priority'!N82</f>
        <v>0</v>
      </c>
      <c r="I10" s="42"/>
      <c r="J10" s="226"/>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row>
    <row r="11" spans="1:40" s="47" customFormat="1" ht="37.5" customHeight="1" thickTop="1" thickBot="1">
      <c r="A11" s="42"/>
      <c r="B11" s="260" t="s">
        <v>407</v>
      </c>
      <c r="C11" s="44">
        <f>'2a. % By Priority'!J95+'2a. % By Priority'!J96</f>
        <v>5</v>
      </c>
      <c r="D11" s="45">
        <f>'2a. % By Priority'!N95</f>
        <v>1</v>
      </c>
      <c r="E11" s="52">
        <f>'2a. % By Priority'!J97</f>
        <v>0</v>
      </c>
      <c r="F11" s="36">
        <f>'2a. % By Priority'!N97</f>
        <v>0</v>
      </c>
      <c r="G11" s="56">
        <f>'2a. % By Priority'!J100+'2a. % By Priority'!J101</f>
        <v>0</v>
      </c>
      <c r="H11" s="57">
        <f>'2a. % By Priority'!N100</f>
        <v>0</v>
      </c>
      <c r="I11" s="42"/>
      <c r="J11" s="226"/>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row>
    <row r="12" spans="1:40" s="47" customFormat="1" ht="21.75" thickTop="1" thickBot="1">
      <c r="A12" s="42"/>
      <c r="B12" s="48" t="s">
        <v>415</v>
      </c>
      <c r="C12" s="49"/>
      <c r="D12" s="50"/>
      <c r="E12" s="49"/>
      <c r="F12" s="50"/>
      <c r="G12" s="49"/>
      <c r="H12" s="51"/>
      <c r="I12" s="42"/>
      <c r="J12" s="226"/>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row>
    <row r="13" spans="1:40" s="47" customFormat="1" ht="37.5" customHeight="1" thickTop="1" thickBot="1">
      <c r="A13" s="42"/>
      <c r="B13" s="59" t="s">
        <v>202</v>
      </c>
      <c r="C13" s="60">
        <f>'3a. % by Portfolio'!J5+'3a. % by Portfolio'!J6</f>
        <v>21</v>
      </c>
      <c r="D13" s="61">
        <f>'3a. % by Portfolio'!N5</f>
        <v>0.95454545454545459</v>
      </c>
      <c r="E13" s="62">
        <f>'3a. % by Portfolio'!J7</f>
        <v>0</v>
      </c>
      <c r="F13" s="63">
        <f>'3a. % by Portfolio'!N7</f>
        <v>0</v>
      </c>
      <c r="G13" s="64">
        <f>'3a. % by Portfolio'!J10+'3a. % by Portfolio'!J11</f>
        <v>1</v>
      </c>
      <c r="H13" s="65">
        <f>'3a. % by Portfolio'!N10</f>
        <v>4.5454545454545456E-2</v>
      </c>
      <c r="I13" s="42"/>
      <c r="J13" s="226"/>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row>
    <row r="14" spans="1:40" s="47" customFormat="1" ht="37.5" customHeight="1" thickTop="1" thickBot="1">
      <c r="A14" s="42"/>
      <c r="B14" s="59" t="s">
        <v>110</v>
      </c>
      <c r="C14" s="60">
        <f>'3a. % by Portfolio'!J24+'3a. % by Portfolio'!J25</f>
        <v>28</v>
      </c>
      <c r="D14" s="61">
        <f>'3a. % by Portfolio'!N24</f>
        <v>0.90322580645161288</v>
      </c>
      <c r="E14" s="66">
        <f>'3a. % by Portfolio'!J26</f>
        <v>2</v>
      </c>
      <c r="F14" s="63">
        <f>'3a. % by Portfolio'!N26</f>
        <v>6.4516129032258063E-2</v>
      </c>
      <c r="G14" s="64">
        <f>'3a. % by Portfolio'!J29+'3a. % by Portfolio'!J30</f>
        <v>1</v>
      </c>
      <c r="H14" s="65">
        <f>'3a. % by Portfolio'!N29</f>
        <v>3.2258064516129031E-2</v>
      </c>
      <c r="I14" s="42"/>
      <c r="J14" s="226"/>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row>
    <row r="15" spans="1:40" s="47" customFormat="1" ht="37.5" customHeight="1" thickTop="1" thickBot="1">
      <c r="A15" s="42"/>
      <c r="B15" s="59" t="s">
        <v>204</v>
      </c>
      <c r="C15" s="60">
        <f>'3a. % by Portfolio'!J42+'3a. % by Portfolio'!J43</f>
        <v>12</v>
      </c>
      <c r="D15" s="61">
        <f>'3a. % by Portfolio'!N42</f>
        <v>1</v>
      </c>
      <c r="E15" s="66">
        <f>'3a. % by Portfolio'!J44</f>
        <v>0</v>
      </c>
      <c r="F15" s="63">
        <f>'3a. % by Portfolio'!N44</f>
        <v>0</v>
      </c>
      <c r="G15" s="64">
        <f>'3a. % by Portfolio'!J47+'3a. % by Portfolio'!J48</f>
        <v>0</v>
      </c>
      <c r="H15" s="65">
        <f>'3a. % by Portfolio'!N47</f>
        <v>0</v>
      </c>
      <c r="I15" s="42"/>
      <c r="J15" s="226"/>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row>
    <row r="16" spans="1:40" s="47" customFormat="1" ht="37.5" customHeight="1" thickTop="1" thickBot="1">
      <c r="A16" s="42"/>
      <c r="B16" s="59" t="s">
        <v>414</v>
      </c>
      <c r="C16" s="60">
        <f>'3a. % by Portfolio'!J60+'3a. % by Portfolio'!J61</f>
        <v>14</v>
      </c>
      <c r="D16" s="61">
        <f>'3a. % by Portfolio'!N60</f>
        <v>1</v>
      </c>
      <c r="E16" s="66">
        <f>'3a. % by Portfolio'!J62</f>
        <v>0</v>
      </c>
      <c r="F16" s="63">
        <f>'3a. % by Portfolio'!N62</f>
        <v>0</v>
      </c>
      <c r="G16" s="64">
        <f>'3a. % by Portfolio'!J65+'3a. % by Portfolio'!J66</f>
        <v>0</v>
      </c>
      <c r="H16" s="65">
        <f>'3a. % by Portfolio'!N65</f>
        <v>0</v>
      </c>
      <c r="I16" s="42"/>
      <c r="J16" s="226"/>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row>
    <row r="17" spans="1:40" s="47" customFormat="1" ht="37.5" customHeight="1" thickTop="1" thickBot="1">
      <c r="A17" s="42"/>
      <c r="B17" s="59" t="s">
        <v>201</v>
      </c>
      <c r="C17" s="60">
        <f>'3a. % by Portfolio'!J78+'3a. % by Portfolio'!J79</f>
        <v>20</v>
      </c>
      <c r="D17" s="61">
        <f>'3a. % by Portfolio'!N78</f>
        <v>0.90909090909090906</v>
      </c>
      <c r="E17" s="66">
        <f>'3a. % by Portfolio'!J80</f>
        <v>0</v>
      </c>
      <c r="F17" s="63">
        <f>'3a. % by Portfolio'!N80</f>
        <v>0</v>
      </c>
      <c r="G17" s="64">
        <f>'3a. % by Portfolio'!J83+'3a. % by Portfolio'!J84</f>
        <v>2</v>
      </c>
      <c r="H17" s="65">
        <f>'3a. % by Portfolio'!N83</f>
        <v>9.0909090909090912E-2</v>
      </c>
      <c r="I17" s="42"/>
      <c r="J17" s="226"/>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row>
    <row r="18" spans="1:40" s="47" customFormat="1" ht="37.5" customHeight="1" thickTop="1" thickBot="1">
      <c r="A18" s="42"/>
      <c r="B18" s="59" t="s">
        <v>109</v>
      </c>
      <c r="C18" s="60">
        <f>'3a. % by Portfolio'!J96+'3a. % by Portfolio'!J97</f>
        <v>19</v>
      </c>
      <c r="D18" s="61">
        <f>'3a. % by Portfolio'!N96</f>
        <v>0.95</v>
      </c>
      <c r="E18" s="66">
        <f>'3a. % by Portfolio'!J98</f>
        <v>0</v>
      </c>
      <c r="F18" s="63">
        <f>'3a. % by Portfolio'!N98</f>
        <v>0</v>
      </c>
      <c r="G18" s="64">
        <f>'3a. % by Portfolio'!J101+'3a. % by Portfolio'!J102</f>
        <v>1</v>
      </c>
      <c r="H18" s="65">
        <f>'3a. % by Portfolio'!N101</f>
        <v>0.05</v>
      </c>
      <c r="I18" s="42"/>
      <c r="J18" s="226"/>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row>
    <row r="19" spans="1:40" s="30" customFormat="1" ht="15.75" thickTop="1">
      <c r="D19" s="32"/>
    </row>
    <row r="20" spans="1:40" s="30" customFormat="1">
      <c r="D20" s="32"/>
    </row>
    <row r="21" spans="1:40" s="30" customFormat="1">
      <c r="D21" s="32"/>
    </row>
    <row r="22" spans="1:40" s="30" customFormat="1">
      <c r="D22" s="32"/>
    </row>
    <row r="23" spans="1:40" s="30" customFormat="1">
      <c r="D23" s="32"/>
    </row>
    <row r="24" spans="1:40" s="30" customFormat="1">
      <c r="D24" s="32"/>
    </row>
    <row r="25" spans="1:40" s="30" customFormat="1">
      <c r="D25" s="32"/>
    </row>
    <row r="26" spans="1:40" s="30" customFormat="1">
      <c r="D26" s="32"/>
    </row>
    <row r="27" spans="1:40" s="30" customFormat="1">
      <c r="D27" s="32"/>
    </row>
    <row r="28" spans="1:40" s="30" customFormat="1">
      <c r="D28" s="32"/>
    </row>
    <row r="29" spans="1:40" s="30" customFormat="1">
      <c r="D29" s="32"/>
    </row>
    <row r="30" spans="1:40" s="30" customFormat="1">
      <c r="D30" s="32"/>
    </row>
    <row r="31" spans="1:40" s="30" customFormat="1">
      <c r="D31" s="32"/>
    </row>
    <row r="32" spans="1:40" s="30" customFormat="1">
      <c r="D32" s="32"/>
    </row>
    <row r="33" spans="4:4" s="30" customFormat="1">
      <c r="D33" s="32"/>
    </row>
    <row r="34" spans="4:4" s="30" customFormat="1">
      <c r="D34" s="32"/>
    </row>
    <row r="35" spans="4:4" s="30" customFormat="1">
      <c r="D35" s="32"/>
    </row>
    <row r="36" spans="4:4" s="30" customFormat="1">
      <c r="D36" s="32"/>
    </row>
    <row r="37" spans="4:4" s="30" customFormat="1">
      <c r="D37" s="32"/>
    </row>
    <row r="38" spans="4:4" s="30" customFormat="1">
      <c r="D38" s="32"/>
    </row>
    <row r="39" spans="4:4" s="30" customFormat="1">
      <c r="D39" s="32"/>
    </row>
    <row r="40" spans="4:4" s="30" customFormat="1">
      <c r="D40" s="32"/>
    </row>
    <row r="41" spans="4:4" s="30" customFormat="1">
      <c r="D41" s="32"/>
    </row>
    <row r="42" spans="4:4" s="30" customFormat="1">
      <c r="D42" s="32"/>
    </row>
    <row r="43" spans="4:4" s="30" customFormat="1">
      <c r="D43" s="32"/>
    </row>
    <row r="44" spans="4:4" s="30" customFormat="1">
      <c r="D44" s="32"/>
    </row>
    <row r="45" spans="4:4" s="30" customFormat="1">
      <c r="D45" s="32"/>
    </row>
    <row r="46" spans="4:4" s="30" customFormat="1">
      <c r="D46" s="32"/>
    </row>
    <row r="47" spans="4:4" s="30" customFormat="1">
      <c r="D47" s="32"/>
    </row>
    <row r="48" spans="4:4" s="30" customFormat="1">
      <c r="D48" s="32"/>
    </row>
  </sheetData>
  <sheetProtection algorithmName="SHA-512" hashValue="CcfTKf29rjnSFMJaTn14HSxCJZiJCt2ZipVDbPbkZUfViuQSZPLvGDdwWkuQp6kYwWO9+UU33ipCtl5UpwjKCw==" saltValue="tVi8PYasMKs/SA3ltYdNzg==" spinCount="100000" sheet="1" objects="1" scenarios="1"/>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9"/>
  <sheetViews>
    <sheetView zoomScale="60" zoomScaleNormal="60" workbookViewId="0">
      <selection activeCell="B2" sqref="B2:B3"/>
    </sheetView>
  </sheetViews>
  <sheetFormatPr defaultColWidth="9.28515625" defaultRowHeight="15"/>
  <cols>
    <col min="1" max="1" width="9.28515625" style="30"/>
    <col min="2" max="2" width="49.5703125" style="4" customWidth="1"/>
    <col min="3" max="3" width="27.28515625" style="4" customWidth="1"/>
    <col min="4" max="4" width="27.28515625" style="53" customWidth="1"/>
    <col min="5" max="8" width="27.28515625" style="4" customWidth="1"/>
    <col min="9" max="40" width="9.28515625" style="30"/>
    <col min="41" max="16384" width="9.28515625" style="4"/>
  </cols>
  <sheetData>
    <row r="1" spans="1:40" s="30" customFormat="1" ht="33" customHeight="1" thickBot="1">
      <c r="B1" s="31"/>
      <c r="D1" s="32"/>
    </row>
    <row r="2" spans="1:40" ht="40.5" customHeight="1" thickTop="1" thickBot="1">
      <c r="B2" s="406" t="s">
        <v>421</v>
      </c>
      <c r="C2" s="408" t="s">
        <v>55</v>
      </c>
      <c r="D2" s="409"/>
      <c r="E2" s="410" t="s">
        <v>56</v>
      </c>
      <c r="F2" s="411"/>
      <c r="G2" s="412" t="s">
        <v>57</v>
      </c>
      <c r="H2" s="412"/>
    </row>
    <row r="3" spans="1:40" ht="50.25" customHeight="1" thickTop="1" thickBot="1">
      <c r="B3" s="407"/>
      <c r="C3" s="33" t="s">
        <v>58</v>
      </c>
      <c r="D3" s="34" t="s">
        <v>59</v>
      </c>
      <c r="E3" s="35" t="s">
        <v>58</v>
      </c>
      <c r="F3" s="36" t="s">
        <v>59</v>
      </c>
      <c r="G3" s="54" t="s">
        <v>58</v>
      </c>
      <c r="H3" s="55" t="s">
        <v>59</v>
      </c>
    </row>
    <row r="4" spans="1:40" s="41" customFormat="1" ht="21.75" thickTop="1" thickBot="1">
      <c r="A4" s="37"/>
      <c r="B4" s="38" t="s">
        <v>60</v>
      </c>
      <c r="C4" s="1"/>
      <c r="D4" s="39"/>
      <c r="E4" s="1"/>
      <c r="F4" s="1"/>
      <c r="G4" s="1"/>
      <c r="H4" s="40"/>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row>
    <row r="5" spans="1:40" s="47" customFormat="1" ht="37.5" customHeight="1" thickTop="1" thickBot="1">
      <c r="A5" s="42"/>
      <c r="B5" s="43" t="s">
        <v>61</v>
      </c>
      <c r="C5" s="44">
        <f>'2a. % By Priority'!Q5+'2a. % By Priority'!Q6</f>
        <v>118</v>
      </c>
      <c r="D5" s="45">
        <f>'2a. % By Priority'!U5</f>
        <v>0.93650793650793651</v>
      </c>
      <c r="E5" s="46">
        <f>'2a. % By Priority'!Q7</f>
        <v>3</v>
      </c>
      <c r="F5" s="36">
        <f>'2a. % By Priority'!U7</f>
        <v>2.3809523809523808E-2</v>
      </c>
      <c r="G5" s="56">
        <f>'2a. % By Priority'!Q10+'2a. % By Priority'!Q11</f>
        <v>5</v>
      </c>
      <c r="H5" s="57">
        <f>'2a. % By Priority'!U10</f>
        <v>3.968253968253968E-2</v>
      </c>
      <c r="I5" s="42"/>
      <c r="J5" s="226"/>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row>
    <row r="6" spans="1:40" s="47" customFormat="1" ht="21.75" thickTop="1" thickBot="1">
      <c r="A6" s="42"/>
      <c r="B6" s="48" t="s">
        <v>62</v>
      </c>
      <c r="C6" s="49"/>
      <c r="D6" s="50"/>
      <c r="E6" s="49"/>
      <c r="F6" s="50"/>
      <c r="G6" s="49"/>
      <c r="H6" s="51"/>
      <c r="I6" s="42"/>
      <c r="J6" s="226"/>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row>
    <row r="7" spans="1:40" s="47" customFormat="1" ht="37.5" customHeight="1" thickTop="1" thickBot="1">
      <c r="A7" s="42"/>
      <c r="B7" s="43" t="s">
        <v>411</v>
      </c>
      <c r="C7" s="44">
        <f>'2a. % By Priority'!Q23+'2a. % By Priority'!Q24</f>
        <v>6</v>
      </c>
      <c r="D7" s="45">
        <f>'2a. % By Priority'!U23</f>
        <v>1</v>
      </c>
      <c r="E7" s="52">
        <f>'2a. % By Priority'!Q25</f>
        <v>0</v>
      </c>
      <c r="F7" s="36">
        <f>'2a. % By Priority'!U25</f>
        <v>0</v>
      </c>
      <c r="G7" s="56">
        <f>'2a. % By Priority'!Q28+'2a. % By Priority'!Q29</f>
        <v>0</v>
      </c>
      <c r="H7" s="57">
        <f>'2a. % By Priority'!U28</f>
        <v>0</v>
      </c>
      <c r="I7" s="42"/>
      <c r="J7" s="226"/>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row>
    <row r="8" spans="1:40" s="47" customFormat="1" ht="37.5" customHeight="1" thickTop="1" thickBot="1">
      <c r="A8" s="42"/>
      <c r="B8" s="43" t="s">
        <v>404</v>
      </c>
      <c r="C8" s="44">
        <f>'2a. % By Priority'!Q41+'2a. % By Priority'!Q42</f>
        <v>10</v>
      </c>
      <c r="D8" s="45">
        <f>'2a. % By Priority'!U41</f>
        <v>1</v>
      </c>
      <c r="E8" s="52">
        <f>'2a. % By Priority'!Q43</f>
        <v>0</v>
      </c>
      <c r="F8" s="36">
        <f>'2a. % By Priority'!U43</f>
        <v>0</v>
      </c>
      <c r="G8" s="56">
        <f>'2a. % By Priority'!Q46+'2a. % By Priority'!Q47</f>
        <v>0</v>
      </c>
      <c r="H8" s="57">
        <f>'2a. % By Priority'!U46</f>
        <v>0</v>
      </c>
      <c r="I8" s="42"/>
      <c r="J8" s="226"/>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row>
    <row r="9" spans="1:40" s="47" customFormat="1" ht="37.5" customHeight="1" thickTop="1" thickBot="1">
      <c r="A9" s="42"/>
      <c r="B9" s="43" t="s">
        <v>405</v>
      </c>
      <c r="C9" s="44">
        <f>'2a. % By Priority'!Q59+'2a. % By Priority'!Q60</f>
        <v>11</v>
      </c>
      <c r="D9" s="45">
        <f>'2a. % By Priority'!U59</f>
        <v>1</v>
      </c>
      <c r="E9" s="52">
        <f>'2a. % By Priority'!Q61</f>
        <v>0</v>
      </c>
      <c r="F9" s="36">
        <f>'2a. % By Priority'!U61</f>
        <v>0</v>
      </c>
      <c r="G9" s="56">
        <f>'2a. % By Priority'!Q64+'2a. % By Priority'!Q65</f>
        <v>0</v>
      </c>
      <c r="H9" s="57">
        <f>'2a. % By Priority'!U64</f>
        <v>0</v>
      </c>
      <c r="I9" s="42"/>
      <c r="J9" s="226"/>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row>
    <row r="10" spans="1:40" s="47" customFormat="1" ht="37.5" customHeight="1" thickTop="1" thickBot="1">
      <c r="A10" s="42"/>
      <c r="B10" s="260" t="s">
        <v>406</v>
      </c>
      <c r="C10" s="44">
        <f>'2a. % By Priority'!Q77+'2a. % By Priority'!Q78</f>
        <v>4</v>
      </c>
      <c r="D10" s="45">
        <f>'2a. % By Priority'!U77</f>
        <v>1</v>
      </c>
      <c r="E10" s="52">
        <f>'2a. % By Priority'!Q79</f>
        <v>0</v>
      </c>
      <c r="F10" s="36">
        <f>'2a. % By Priority'!U79</f>
        <v>0</v>
      </c>
      <c r="G10" s="56">
        <f>'2a. % By Priority'!Q82+'2a. % By Priority'!Q83</f>
        <v>0</v>
      </c>
      <c r="H10" s="57">
        <f>'2a. % By Priority'!U82</f>
        <v>0</v>
      </c>
      <c r="I10" s="42"/>
      <c r="J10" s="226"/>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row>
    <row r="11" spans="1:40" s="47" customFormat="1" ht="37.5" customHeight="1" thickTop="1" thickBot="1">
      <c r="A11" s="42"/>
      <c r="B11" s="260" t="s">
        <v>407</v>
      </c>
      <c r="C11" s="44">
        <f>'2a. % By Priority'!Q95+'2a. % By Priority'!Q96</f>
        <v>5</v>
      </c>
      <c r="D11" s="45">
        <f>'2a. % By Priority'!U95</f>
        <v>1</v>
      </c>
      <c r="E11" s="52">
        <f>'2a. % By Priority'!Q97</f>
        <v>0</v>
      </c>
      <c r="F11" s="36">
        <f>'2a. % By Priority'!U97</f>
        <v>0</v>
      </c>
      <c r="G11" s="56">
        <f>'2a. % By Priority'!Q100+'2a. % By Priority'!Q101</f>
        <v>0</v>
      </c>
      <c r="H11" s="57">
        <f>'2a. % By Priority'!U100</f>
        <v>0</v>
      </c>
      <c r="I11" s="42"/>
      <c r="J11" s="226"/>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row>
    <row r="12" spans="1:40" s="47" customFormat="1" ht="37.5" customHeight="1" thickTop="1" thickBot="1">
      <c r="A12" s="42"/>
      <c r="B12" s="260" t="s">
        <v>412</v>
      </c>
      <c r="C12" s="44">
        <f>'2a. % By Priority'!Q113+'2a. % By Priority'!Q114</f>
        <v>82</v>
      </c>
      <c r="D12" s="45">
        <f>'2a. % By Priority'!U113</f>
        <v>0.91111111111111109</v>
      </c>
      <c r="E12" s="52">
        <f>'2a. % By Priority'!Q115</f>
        <v>3</v>
      </c>
      <c r="F12" s="36">
        <f>'2a. % By Priority'!U115</f>
        <v>3.3333333333333333E-2</v>
      </c>
      <c r="G12" s="56">
        <f>'2a. % By Priority'!Q118+'2a. % By Priority'!Q119</f>
        <v>5</v>
      </c>
      <c r="H12" s="57">
        <f>'2a. % By Priority'!U118</f>
        <v>5.5555555555555552E-2</v>
      </c>
      <c r="I12" s="42"/>
      <c r="J12" s="226"/>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row>
    <row r="13" spans="1:40" s="47" customFormat="1" ht="21.75" thickTop="1" thickBot="1">
      <c r="A13" s="42"/>
      <c r="B13" s="48" t="s">
        <v>415</v>
      </c>
      <c r="C13" s="49"/>
      <c r="D13" s="50"/>
      <c r="E13" s="49"/>
      <c r="F13" s="50"/>
      <c r="G13" s="49"/>
      <c r="H13" s="51"/>
      <c r="I13" s="42"/>
      <c r="J13" s="226"/>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row>
    <row r="14" spans="1:40" s="47" customFormat="1" ht="37.5" customHeight="1" thickTop="1" thickBot="1">
      <c r="A14" s="42"/>
      <c r="B14" s="59" t="s">
        <v>202</v>
      </c>
      <c r="C14" s="60">
        <f>'3a. % by Portfolio'!Q5+'3a. % by Portfolio'!Q6</f>
        <v>22</v>
      </c>
      <c r="D14" s="61">
        <f>'3a. % by Portfolio'!U5</f>
        <v>0.95652173913043481</v>
      </c>
      <c r="E14" s="62">
        <f>'3a. % by Portfolio'!Q7</f>
        <v>0</v>
      </c>
      <c r="F14" s="63">
        <f>'3a. % by Portfolio'!U7</f>
        <v>0</v>
      </c>
      <c r="G14" s="64">
        <f>'3a. % by Portfolio'!Q10+'3a. % by Portfolio'!Q11</f>
        <v>1</v>
      </c>
      <c r="H14" s="65">
        <f>'3a. % by Portfolio'!U10</f>
        <v>4.3478260869565216E-2</v>
      </c>
      <c r="I14" s="42"/>
      <c r="J14" s="226"/>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row>
    <row r="15" spans="1:40" s="47" customFormat="1" ht="37.5" customHeight="1" thickTop="1" thickBot="1">
      <c r="A15" s="42"/>
      <c r="B15" s="59" t="s">
        <v>110</v>
      </c>
      <c r="C15" s="60">
        <f>'3a. % by Portfolio'!Q24+'3a. % by Portfolio'!Q25</f>
        <v>30</v>
      </c>
      <c r="D15" s="61">
        <f>'3a. % by Portfolio'!U24</f>
        <v>0.90909090909090917</v>
      </c>
      <c r="E15" s="66">
        <f>'3a. % by Portfolio'!Q26</f>
        <v>2</v>
      </c>
      <c r="F15" s="63">
        <f>'3a. % by Portfolio'!U26</f>
        <v>6.0606060606060608E-2</v>
      </c>
      <c r="G15" s="64">
        <f>'3a. % by Portfolio'!Q29+'3a. % by Portfolio'!Q30</f>
        <v>1</v>
      </c>
      <c r="H15" s="65">
        <f>'3a. % by Portfolio'!U29</f>
        <v>3.0303030303030304E-2</v>
      </c>
      <c r="I15" s="42"/>
      <c r="J15" s="226"/>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row>
    <row r="16" spans="1:40" s="47" customFormat="1" ht="37.5" customHeight="1" thickTop="1" thickBot="1">
      <c r="A16" s="42"/>
      <c r="B16" s="59" t="s">
        <v>204</v>
      </c>
      <c r="C16" s="60">
        <f>'3a. % by Portfolio'!Q42+'3a. % by Portfolio'!Q43</f>
        <v>13</v>
      </c>
      <c r="D16" s="61">
        <f>'3a. % by Portfolio'!U42</f>
        <v>1</v>
      </c>
      <c r="E16" s="66">
        <f>'3a. % by Portfolio'!Q44</f>
        <v>0</v>
      </c>
      <c r="F16" s="63">
        <f>'3a. % by Portfolio'!U44</f>
        <v>0</v>
      </c>
      <c r="G16" s="64">
        <f>'3a. % by Portfolio'!Q47+'3a. % by Portfolio'!Q48</f>
        <v>0</v>
      </c>
      <c r="H16" s="65">
        <f>'3a. % by Portfolio'!U47</f>
        <v>0</v>
      </c>
      <c r="I16" s="42"/>
      <c r="J16" s="226"/>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row>
    <row r="17" spans="1:40" s="47" customFormat="1" ht="37.5" customHeight="1" thickTop="1" thickBot="1">
      <c r="A17" s="42"/>
      <c r="B17" s="59" t="s">
        <v>414</v>
      </c>
      <c r="C17" s="60">
        <f>'3a. % by Portfolio'!Q60+'3a. % by Portfolio'!Q61</f>
        <v>14</v>
      </c>
      <c r="D17" s="61">
        <f>'3a. % by Portfolio'!U60</f>
        <v>1</v>
      </c>
      <c r="E17" s="66">
        <f>'3a. % by Portfolio'!Q62</f>
        <v>0</v>
      </c>
      <c r="F17" s="63">
        <f>'3a. % by Portfolio'!U62</f>
        <v>0</v>
      </c>
      <c r="G17" s="64">
        <f>'3a. % by Portfolio'!Q65+'3a. % by Portfolio'!Q66</f>
        <v>0</v>
      </c>
      <c r="H17" s="65">
        <f>'3a. % by Portfolio'!U65</f>
        <v>0</v>
      </c>
      <c r="I17" s="42"/>
      <c r="J17" s="226"/>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row>
    <row r="18" spans="1:40" s="47" customFormat="1" ht="37.5" customHeight="1" thickTop="1" thickBot="1">
      <c r="A18" s="42"/>
      <c r="B18" s="59" t="s">
        <v>201</v>
      </c>
      <c r="C18" s="60">
        <f>'3a. % by Portfolio'!Q78+'3a. % by Portfolio'!Q79</f>
        <v>20</v>
      </c>
      <c r="D18" s="61">
        <f>'3a. % by Portfolio'!U78</f>
        <v>0.86956521739130432</v>
      </c>
      <c r="E18" s="66">
        <f>'3a. % by Portfolio'!Q80</f>
        <v>1</v>
      </c>
      <c r="F18" s="63">
        <f>'3a. % by Portfolio'!U80</f>
        <v>4.3478260869565216E-2</v>
      </c>
      <c r="G18" s="64">
        <f>'3a. % by Portfolio'!Q83+'3a. % by Portfolio'!Q84</f>
        <v>2</v>
      </c>
      <c r="H18" s="65">
        <f>'3a. % by Portfolio'!U83</f>
        <v>8.6956521739130432E-2</v>
      </c>
      <c r="I18" s="42"/>
      <c r="J18" s="226"/>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row>
    <row r="19" spans="1:40" s="47" customFormat="1" ht="37.5" customHeight="1" thickTop="1" thickBot="1">
      <c r="A19" s="42"/>
      <c r="B19" s="59" t="s">
        <v>109</v>
      </c>
      <c r="C19" s="60">
        <f>'3a. % by Portfolio'!Q96+'3a. % by Portfolio'!Q97</f>
        <v>19</v>
      </c>
      <c r="D19" s="61">
        <f>'3a. % by Portfolio'!U96</f>
        <v>0.95</v>
      </c>
      <c r="E19" s="66">
        <f>'3a. % by Portfolio'!Q98</f>
        <v>0</v>
      </c>
      <c r="F19" s="63">
        <f>'3a. % by Portfolio'!U98</f>
        <v>0</v>
      </c>
      <c r="G19" s="64">
        <f>'3a. % by Portfolio'!Q101+'3a. % by Portfolio'!Q102</f>
        <v>1</v>
      </c>
      <c r="H19" s="65">
        <f>'3a. % by Portfolio'!U101</f>
        <v>0.05</v>
      </c>
      <c r="I19" s="42"/>
      <c r="J19" s="226"/>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row>
    <row r="20" spans="1:40" s="30" customFormat="1" ht="15.75" thickTop="1">
      <c r="D20" s="32"/>
    </row>
    <row r="21" spans="1:40" s="30" customFormat="1">
      <c r="D21" s="32"/>
    </row>
    <row r="22" spans="1:40" s="30" customFormat="1">
      <c r="D22" s="32"/>
    </row>
    <row r="23" spans="1:40" s="30" customFormat="1">
      <c r="D23" s="32"/>
    </row>
    <row r="24" spans="1:40" s="30" customFormat="1">
      <c r="D24" s="32"/>
    </row>
    <row r="25" spans="1:40" s="30" customFormat="1">
      <c r="D25" s="32"/>
    </row>
    <row r="26" spans="1:40" s="30" customFormat="1">
      <c r="D26" s="32"/>
    </row>
    <row r="27" spans="1:40" s="30" customFormat="1">
      <c r="D27" s="32"/>
    </row>
    <row r="28" spans="1:40" s="30" customFormat="1">
      <c r="D28" s="32"/>
    </row>
    <row r="29" spans="1:40" s="30" customFormat="1">
      <c r="D29" s="32"/>
    </row>
    <row r="30" spans="1:40" s="30" customFormat="1">
      <c r="D30" s="32"/>
    </row>
    <row r="31" spans="1:40" s="30" customFormat="1">
      <c r="D31" s="32"/>
    </row>
    <row r="32" spans="1:40" s="30" customFormat="1">
      <c r="D32" s="32"/>
    </row>
    <row r="33" spans="4:4" s="30" customFormat="1">
      <c r="D33" s="32"/>
    </row>
    <row r="34" spans="4:4" s="30" customFormat="1">
      <c r="D34" s="32"/>
    </row>
    <row r="35" spans="4:4" s="30" customFormat="1">
      <c r="D35" s="32"/>
    </row>
    <row r="36" spans="4:4" s="30" customFormat="1">
      <c r="D36" s="32"/>
    </row>
    <row r="37" spans="4:4" s="30" customFormat="1">
      <c r="D37" s="32"/>
    </row>
    <row r="38" spans="4:4" s="30" customFormat="1">
      <c r="D38" s="32"/>
    </row>
    <row r="39" spans="4:4" s="30" customFormat="1">
      <c r="D39" s="32"/>
    </row>
    <row r="40" spans="4:4" s="30" customFormat="1">
      <c r="D40" s="32"/>
    </row>
    <row r="41" spans="4:4" s="30" customFormat="1">
      <c r="D41" s="32"/>
    </row>
    <row r="42" spans="4:4" s="30" customFormat="1">
      <c r="D42" s="32"/>
    </row>
    <row r="43" spans="4:4" s="30" customFormat="1">
      <c r="D43" s="32"/>
    </row>
    <row r="44" spans="4:4" s="30" customFormat="1">
      <c r="D44" s="32"/>
    </row>
    <row r="45" spans="4:4" s="30" customFormat="1">
      <c r="D45" s="32"/>
    </row>
    <row r="46" spans="4:4" s="30" customFormat="1">
      <c r="D46" s="32"/>
    </row>
    <row r="47" spans="4:4" s="30" customFormat="1">
      <c r="D47" s="32"/>
    </row>
    <row r="48" spans="4:4" s="30" customFormat="1">
      <c r="D48" s="32"/>
    </row>
    <row r="49" spans="4:4" s="30" customFormat="1">
      <c r="D49" s="32"/>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9"/>
  <sheetViews>
    <sheetView zoomScale="60" zoomScaleNormal="60" workbookViewId="0">
      <selection activeCell="R22" sqref="R22"/>
    </sheetView>
  </sheetViews>
  <sheetFormatPr defaultColWidth="9.28515625" defaultRowHeight="15"/>
  <cols>
    <col min="1" max="1" width="9.28515625" style="30"/>
    <col min="2" max="2" width="49.5703125" style="4" customWidth="1"/>
    <col min="3" max="3" width="27.28515625" style="4" customWidth="1"/>
    <col min="4" max="4" width="27.28515625" style="53" customWidth="1"/>
    <col min="5" max="8" width="27.28515625" style="4" customWidth="1"/>
    <col min="9" max="40" width="9.28515625" style="30"/>
    <col min="41" max="16384" width="9.28515625" style="4"/>
  </cols>
  <sheetData>
    <row r="1" spans="1:40" s="30" customFormat="1" ht="33" customHeight="1" thickBot="1">
      <c r="B1" s="31"/>
      <c r="D1" s="32"/>
    </row>
    <row r="2" spans="1:40" ht="40.5" customHeight="1" thickTop="1" thickBot="1">
      <c r="B2" s="406" t="s">
        <v>422</v>
      </c>
      <c r="C2" s="408" t="s">
        <v>55</v>
      </c>
      <c r="D2" s="409"/>
      <c r="E2" s="410" t="s">
        <v>56</v>
      </c>
      <c r="F2" s="411"/>
      <c r="G2" s="412" t="s">
        <v>57</v>
      </c>
      <c r="H2" s="412"/>
    </row>
    <row r="3" spans="1:40" ht="50.25" customHeight="1" thickTop="1" thickBot="1">
      <c r="B3" s="407"/>
      <c r="C3" s="33" t="s">
        <v>58</v>
      </c>
      <c r="D3" s="34" t="s">
        <v>59</v>
      </c>
      <c r="E3" s="35" t="s">
        <v>58</v>
      </c>
      <c r="F3" s="36" t="s">
        <v>59</v>
      </c>
      <c r="G3" s="54" t="s">
        <v>58</v>
      </c>
      <c r="H3" s="55" t="s">
        <v>59</v>
      </c>
    </row>
    <row r="4" spans="1:40" s="41" customFormat="1" ht="21.75" thickTop="1" thickBot="1">
      <c r="A4" s="37"/>
      <c r="B4" s="38" t="s">
        <v>60</v>
      </c>
      <c r="C4" s="1"/>
      <c r="D4" s="39"/>
      <c r="E4" s="1"/>
      <c r="F4" s="1"/>
      <c r="G4" s="1"/>
      <c r="H4" s="40"/>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row>
    <row r="5" spans="1:40" s="47" customFormat="1" ht="37.5" customHeight="1" thickTop="1" thickBot="1">
      <c r="A5" s="42"/>
      <c r="B5" s="43" t="s">
        <v>61</v>
      </c>
      <c r="C5" s="44">
        <f>'2a. % By Priority'!X5+'2a. % By Priority'!X6</f>
        <v>122</v>
      </c>
      <c r="D5" s="45">
        <f>'2a. % By Priority'!AB5</f>
        <v>0.93846153846153846</v>
      </c>
      <c r="E5" s="46">
        <f>'2a. % By Priority'!X7+'2a. % By Priority'!X8+'2a. % By Priority'!X9</f>
        <v>2</v>
      </c>
      <c r="F5" s="36">
        <f>'2a. % By Priority'!AB7</f>
        <v>1.5384615384615385E-2</v>
      </c>
      <c r="G5" s="56">
        <f>'2a. % By Priority'!X10+'2a. % By Priority'!X11</f>
        <v>6</v>
      </c>
      <c r="H5" s="57">
        <f>'2a. % By Priority'!AB10</f>
        <v>4.6153846153846156E-2</v>
      </c>
      <c r="I5" s="42"/>
      <c r="J5" s="226"/>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row>
    <row r="6" spans="1:40" s="47" customFormat="1" ht="21.75" thickTop="1" thickBot="1">
      <c r="A6" s="42"/>
      <c r="B6" s="48" t="s">
        <v>62</v>
      </c>
      <c r="C6" s="49"/>
      <c r="D6" s="50"/>
      <c r="E6" s="49"/>
      <c r="F6" s="50"/>
      <c r="G6" s="49"/>
      <c r="H6" s="51"/>
      <c r="I6" s="42"/>
      <c r="J6" s="226"/>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row>
    <row r="7" spans="1:40" s="47" customFormat="1" ht="37.5" customHeight="1" thickTop="1" thickBot="1">
      <c r="A7" s="42"/>
      <c r="B7" s="43" t="s">
        <v>411</v>
      </c>
      <c r="C7" s="44">
        <f>'2a. % By Priority'!X23+'2a. % By Priority'!X24</f>
        <v>6</v>
      </c>
      <c r="D7" s="45">
        <f>'2a. % By Priority'!AB23</f>
        <v>1</v>
      </c>
      <c r="E7" s="52">
        <f>'2a. % By Priority'!X25+'2a. % By Priority'!X26+'2a. % By Priority'!X27</f>
        <v>0</v>
      </c>
      <c r="F7" s="36">
        <f>'2a. % By Priority'!AB25</f>
        <v>0</v>
      </c>
      <c r="G7" s="56">
        <f>'2a. % By Priority'!X28+'2a. % By Priority'!X29</f>
        <v>0</v>
      </c>
      <c r="H7" s="57">
        <f>'2a. % By Priority'!AB28</f>
        <v>0</v>
      </c>
      <c r="I7" s="42"/>
      <c r="J7" s="226"/>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row>
    <row r="8" spans="1:40" s="47" customFormat="1" ht="37.5" customHeight="1" thickTop="1" thickBot="1">
      <c r="A8" s="42"/>
      <c r="B8" s="43" t="s">
        <v>404</v>
      </c>
      <c r="C8" s="44">
        <f>'2a. % By Priority'!X41+'2a. % By Priority'!X42</f>
        <v>11</v>
      </c>
      <c r="D8" s="45">
        <f>'2a. % By Priority'!AB41</f>
        <v>1</v>
      </c>
      <c r="E8" s="52">
        <f>'2a. % By Priority'!X43+'2a. % By Priority'!X44+'2a. % By Priority'!X45</f>
        <v>0</v>
      </c>
      <c r="F8" s="36">
        <f>'2a. % By Priority'!AB43</f>
        <v>0</v>
      </c>
      <c r="G8" s="56">
        <f>'2a. % By Priority'!X46+'2a. % By Priority'!X47</f>
        <v>0</v>
      </c>
      <c r="H8" s="57">
        <f>'2a. % By Priority'!AB46</f>
        <v>0</v>
      </c>
      <c r="I8" s="42"/>
      <c r="J8" s="226"/>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row>
    <row r="9" spans="1:40" s="47" customFormat="1" ht="37.5" customHeight="1" thickTop="1" thickBot="1">
      <c r="A9" s="42"/>
      <c r="B9" s="43" t="s">
        <v>405</v>
      </c>
      <c r="C9" s="44">
        <f>'2a. % By Priority'!X59+'2a. % By Priority'!X60</f>
        <v>10</v>
      </c>
      <c r="D9" s="45">
        <f>'2a. % By Priority'!AB59</f>
        <v>0.90909090909090906</v>
      </c>
      <c r="E9" s="52">
        <f>'2a. % By Priority'!X61+'2a. % By Priority'!X62+'2a. % By Priority'!X63</f>
        <v>0</v>
      </c>
      <c r="F9" s="36">
        <f>'2a. % By Priority'!AB61</f>
        <v>0</v>
      </c>
      <c r="G9" s="56">
        <f>'2a. % By Priority'!X64+'2a. % By Priority'!X65</f>
        <v>1</v>
      </c>
      <c r="H9" s="57">
        <f>'2a. % By Priority'!AB64</f>
        <v>9.0909090909090912E-2</v>
      </c>
      <c r="I9" s="42"/>
      <c r="J9" s="226"/>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row>
    <row r="10" spans="1:40" s="47" customFormat="1" ht="37.5" customHeight="1" thickTop="1" thickBot="1">
      <c r="A10" s="42"/>
      <c r="B10" s="260" t="s">
        <v>406</v>
      </c>
      <c r="C10" s="44">
        <f>'2a. % By Priority'!X77+'2a. % By Priority'!X78</f>
        <v>4</v>
      </c>
      <c r="D10" s="45">
        <f>'2a. % By Priority'!AB77</f>
        <v>1</v>
      </c>
      <c r="E10" s="52">
        <f>'2a. % By Priority'!X79+'2a. % By Priority'!X80+'2a. % By Priority'!X81</f>
        <v>0</v>
      </c>
      <c r="F10" s="36">
        <f>'2a. % By Priority'!AB79</f>
        <v>0</v>
      </c>
      <c r="G10" s="56">
        <f>'2a. % By Priority'!X82+'2a. % By Priority'!X83</f>
        <v>0</v>
      </c>
      <c r="H10" s="57">
        <f>'2a. % By Priority'!AB82</f>
        <v>0</v>
      </c>
      <c r="I10" s="42"/>
      <c r="J10" s="226"/>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row>
    <row r="11" spans="1:40" s="47" customFormat="1" ht="37.5" customHeight="1" thickTop="1" thickBot="1">
      <c r="A11" s="42"/>
      <c r="B11" s="260" t="s">
        <v>407</v>
      </c>
      <c r="C11" s="44">
        <f>'2a. % By Priority'!X95+'2a. % By Priority'!X96</f>
        <v>5</v>
      </c>
      <c r="D11" s="45">
        <f>'2a. % By Priority'!AB95</f>
        <v>1</v>
      </c>
      <c r="E11" s="52">
        <f>'2a. % By Priority'!X97+'2a. % By Priority'!X98+'2a. % By Priority'!X99</f>
        <v>0</v>
      </c>
      <c r="F11" s="36">
        <f>'2a. % By Priority'!AB97</f>
        <v>0</v>
      </c>
      <c r="G11" s="56">
        <f>'2a. % By Priority'!X100+'2a. % By Priority'!X101</f>
        <v>0</v>
      </c>
      <c r="H11" s="57">
        <f>'2a. % By Priority'!AB100</f>
        <v>0</v>
      </c>
      <c r="I11" s="42"/>
      <c r="J11" s="226"/>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row>
    <row r="12" spans="1:40" s="47" customFormat="1" ht="37.5" customHeight="1" thickTop="1" thickBot="1">
      <c r="A12" s="42"/>
      <c r="B12" s="260" t="s">
        <v>932</v>
      </c>
      <c r="C12" s="44">
        <f>'2a. % By Priority'!X113+'2a. % By Priority'!X114</f>
        <v>86</v>
      </c>
      <c r="D12" s="45">
        <f>'2a. % By Priority'!AB113</f>
        <v>0.92473118279569888</v>
      </c>
      <c r="E12" s="52">
        <f>'2a. % By Priority'!X115+'2a. % By Priority'!X116+'2a. % By Priority'!X117</f>
        <v>2</v>
      </c>
      <c r="F12" s="36">
        <f>'2a. % By Priority'!AB115</f>
        <v>2.1505376344086023E-2</v>
      </c>
      <c r="G12" s="56">
        <f>'2a. % By Priority'!X118+'2a. % By Priority'!X119</f>
        <v>5</v>
      </c>
      <c r="H12" s="57">
        <f>'2a. % By Priority'!AB118</f>
        <v>5.3763440860215062E-2</v>
      </c>
      <c r="I12" s="42"/>
      <c r="J12" s="226"/>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row>
    <row r="13" spans="1:40" s="47" customFormat="1" ht="21.75" thickTop="1" thickBot="1">
      <c r="A13" s="42"/>
      <c r="B13" s="48" t="s">
        <v>415</v>
      </c>
      <c r="C13" s="49"/>
      <c r="D13" s="50"/>
      <c r="E13" s="49"/>
      <c r="F13" s="50"/>
      <c r="G13" s="49"/>
      <c r="H13" s="51"/>
      <c r="I13" s="42"/>
      <c r="J13" s="226"/>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row>
    <row r="14" spans="1:40" s="47" customFormat="1" ht="37.5" customHeight="1" thickTop="1" thickBot="1">
      <c r="A14" s="42"/>
      <c r="B14" s="59" t="s">
        <v>202</v>
      </c>
      <c r="C14" s="60">
        <f>'3a. % by Portfolio'!X5+'3a. % by Portfolio'!X6</f>
        <v>21</v>
      </c>
      <c r="D14" s="61">
        <f>'3a. % by Portfolio'!AB5</f>
        <v>0.91304347826086951</v>
      </c>
      <c r="E14" s="62">
        <f>'3a. % by Portfolio'!X7+'3a. % by Portfolio'!X8+'3a. % by Portfolio'!X9</f>
        <v>0</v>
      </c>
      <c r="F14" s="63">
        <f>'3a. % by Portfolio'!AB7</f>
        <v>0</v>
      </c>
      <c r="G14" s="64">
        <f>'3a. % by Portfolio'!X10+'3a. % by Portfolio'!X11</f>
        <v>2</v>
      </c>
      <c r="H14" s="65">
        <f>'3a. % by Portfolio'!AB10</f>
        <v>8.6956521739130432E-2</v>
      </c>
      <c r="I14" s="42"/>
      <c r="J14" s="226"/>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row>
    <row r="15" spans="1:40" s="47" customFormat="1" ht="37.5" customHeight="1" thickTop="1" thickBot="1">
      <c r="A15" s="42"/>
      <c r="B15" s="59" t="s">
        <v>110</v>
      </c>
      <c r="C15" s="60">
        <f>'3a. % by Portfolio'!X24+'3a. % by Portfolio'!X25</f>
        <v>31</v>
      </c>
      <c r="D15" s="61">
        <f>'3a. % by Portfolio'!AB24</f>
        <v>0.91176470588235292</v>
      </c>
      <c r="E15" s="66">
        <f>'3a. % by Portfolio'!X26+'3a. % by Portfolio'!X27+'3a. % by Portfolio'!X28</f>
        <v>1</v>
      </c>
      <c r="F15" s="63">
        <f>'3a. % by Portfolio'!AB26</f>
        <v>2.9411764705882353E-2</v>
      </c>
      <c r="G15" s="64">
        <f>'3a. % by Portfolio'!X29+'3a. % by Portfolio'!X30</f>
        <v>2</v>
      </c>
      <c r="H15" s="65">
        <f>'3a. % by Portfolio'!AB29</f>
        <v>5.8823529411764705E-2</v>
      </c>
      <c r="I15" s="42"/>
      <c r="J15" s="226"/>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row>
    <row r="16" spans="1:40" s="47" customFormat="1" ht="37.5" customHeight="1" thickTop="1" thickBot="1">
      <c r="A16" s="42"/>
      <c r="B16" s="59" t="s">
        <v>204</v>
      </c>
      <c r="C16" s="60">
        <f>'3a. % by Portfolio'!X42+'3a. % by Portfolio'!X43</f>
        <v>13</v>
      </c>
      <c r="D16" s="61">
        <f>'3a. % by Portfolio'!AB42</f>
        <v>1</v>
      </c>
      <c r="E16" s="66">
        <f>'3a. % by Portfolio'!X44+'3a. % by Portfolio'!X45+'3a. % by Portfolio'!X46</f>
        <v>0</v>
      </c>
      <c r="F16" s="63">
        <f>'3a. % by Portfolio'!AB44</f>
        <v>0</v>
      </c>
      <c r="G16" s="64">
        <f>'3a. % by Portfolio'!X47+'3a. % by Portfolio'!X48</f>
        <v>0</v>
      </c>
      <c r="H16" s="65">
        <f>'3a. % by Portfolio'!AB47</f>
        <v>0</v>
      </c>
      <c r="I16" s="42"/>
      <c r="J16" s="226"/>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row>
    <row r="17" spans="1:40" s="47" customFormat="1" ht="37.5" customHeight="1" thickTop="1" thickBot="1">
      <c r="A17" s="42"/>
      <c r="B17" s="59" t="s">
        <v>414</v>
      </c>
      <c r="C17" s="60">
        <f>'3a. % by Portfolio'!X60+'3a. % by Portfolio'!X61</f>
        <v>15</v>
      </c>
      <c r="D17" s="61">
        <f>'3a. % by Portfolio'!AB60</f>
        <v>1</v>
      </c>
      <c r="E17" s="66">
        <f>'3a. % by Portfolio'!X62+'3a. % by Portfolio'!X63+'3a. % by Portfolio'!X64</f>
        <v>0</v>
      </c>
      <c r="F17" s="63">
        <f>'3a. % by Portfolio'!AB62</f>
        <v>0</v>
      </c>
      <c r="G17" s="64">
        <f>'3a. % by Portfolio'!X65+'3a. % by Portfolio'!X66</f>
        <v>0</v>
      </c>
      <c r="H17" s="65">
        <f>'3a. % by Portfolio'!AB65</f>
        <v>0</v>
      </c>
      <c r="I17" s="42"/>
      <c r="J17" s="226"/>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row>
    <row r="18" spans="1:40" s="47" customFormat="1" ht="37.5" customHeight="1" thickTop="1" thickBot="1">
      <c r="A18" s="42"/>
      <c r="B18" s="59" t="s">
        <v>201</v>
      </c>
      <c r="C18" s="60">
        <f>'3a. % by Portfolio'!X78+'3a. % by Portfolio'!X79</f>
        <v>22</v>
      </c>
      <c r="D18" s="61">
        <f>'3a. % by Portfolio'!AB78</f>
        <v>0.91666666666666674</v>
      </c>
      <c r="E18" s="66">
        <f>'3a. % by Portfolio'!X80+'3a. % by Portfolio'!X81+'3a. % by Portfolio'!X82</f>
        <v>1</v>
      </c>
      <c r="F18" s="63">
        <f>'3a. % by Portfolio'!AB80</f>
        <v>4.1666666666666664E-2</v>
      </c>
      <c r="G18" s="64">
        <f>'3a. % by Portfolio'!X83+'3a. % by Portfolio'!X84</f>
        <v>1</v>
      </c>
      <c r="H18" s="65">
        <f>'3a. % by Portfolio'!AB83</f>
        <v>4.1666666666666664E-2</v>
      </c>
      <c r="I18" s="42"/>
      <c r="J18" s="226"/>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row>
    <row r="19" spans="1:40" s="47" customFormat="1" ht="37.5" customHeight="1" thickTop="1" thickBot="1">
      <c r="A19" s="42"/>
      <c r="B19" s="59" t="s">
        <v>109</v>
      </c>
      <c r="C19" s="60">
        <f>'3a. % by Portfolio'!X96+'3a. % by Portfolio'!X97</f>
        <v>20</v>
      </c>
      <c r="D19" s="61">
        <f>'3a. % by Portfolio'!AB96</f>
        <v>0.95238095238095233</v>
      </c>
      <c r="E19" s="66">
        <f>'3a. % by Portfolio'!X98+'3a. % by Portfolio'!X99+'3a. % by Portfolio'!X100</f>
        <v>0</v>
      </c>
      <c r="F19" s="63">
        <f>'3a. % by Portfolio'!AB98</f>
        <v>0</v>
      </c>
      <c r="G19" s="64">
        <f>'3a. % by Portfolio'!X101+'3a. % by Portfolio'!X102</f>
        <v>1</v>
      </c>
      <c r="H19" s="65">
        <f>'3a. % by Portfolio'!AB101</f>
        <v>4.7619047619047616E-2</v>
      </c>
      <c r="I19" s="42"/>
      <c r="J19" s="226"/>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row>
    <row r="20" spans="1:40" s="30" customFormat="1" ht="15.75" thickTop="1">
      <c r="D20" s="32"/>
    </row>
    <row r="21" spans="1:40" s="30" customFormat="1">
      <c r="D21" s="32"/>
    </row>
    <row r="22" spans="1:40" s="30" customFormat="1">
      <c r="D22" s="32"/>
    </row>
    <row r="23" spans="1:40" s="30" customFormat="1">
      <c r="D23" s="32"/>
    </row>
    <row r="24" spans="1:40" s="30" customFormat="1">
      <c r="D24" s="32"/>
    </row>
    <row r="25" spans="1:40" s="30" customFormat="1">
      <c r="D25" s="32"/>
    </row>
    <row r="26" spans="1:40" s="30" customFormat="1">
      <c r="D26" s="32"/>
    </row>
    <row r="27" spans="1:40" s="30" customFormat="1">
      <c r="D27" s="32"/>
    </row>
    <row r="28" spans="1:40" s="30" customFormat="1">
      <c r="D28" s="32"/>
    </row>
    <row r="29" spans="1:40" s="30" customFormat="1">
      <c r="D29" s="32"/>
    </row>
    <row r="30" spans="1:40" s="30" customFormat="1">
      <c r="D30" s="32"/>
    </row>
    <row r="31" spans="1:40" s="30" customFormat="1">
      <c r="D31" s="32"/>
    </row>
    <row r="32" spans="1:40" s="30" customFormat="1">
      <c r="D32" s="32"/>
    </row>
    <row r="33" spans="4:4" s="30" customFormat="1">
      <c r="D33" s="32"/>
    </row>
    <row r="34" spans="4:4" s="30" customFormat="1">
      <c r="D34" s="32"/>
    </row>
    <row r="35" spans="4:4" s="30" customFormat="1">
      <c r="D35" s="32"/>
    </row>
    <row r="36" spans="4:4" s="30" customFormat="1">
      <c r="D36" s="32"/>
    </row>
    <row r="37" spans="4:4" s="30" customFormat="1">
      <c r="D37" s="32"/>
    </row>
    <row r="38" spans="4:4" s="30" customFormat="1">
      <c r="D38" s="32"/>
    </row>
    <row r="39" spans="4:4" s="30" customFormat="1">
      <c r="D39" s="32"/>
    </row>
    <row r="40" spans="4:4" s="30" customFormat="1">
      <c r="D40" s="32"/>
    </row>
    <row r="41" spans="4:4" s="30" customFormat="1">
      <c r="D41" s="32"/>
    </row>
    <row r="42" spans="4:4" s="30" customFormat="1">
      <c r="D42" s="32"/>
    </row>
    <row r="43" spans="4:4" s="30" customFormat="1">
      <c r="D43" s="32"/>
    </row>
    <row r="44" spans="4:4" s="30" customFormat="1">
      <c r="D44" s="32"/>
    </row>
    <row r="45" spans="4:4" s="30" customFormat="1">
      <c r="D45" s="32"/>
    </row>
    <row r="46" spans="4:4" s="30" customFormat="1">
      <c r="D46" s="32"/>
    </row>
    <row r="47" spans="4:4" s="30" customFormat="1">
      <c r="D47" s="32"/>
    </row>
    <row r="48" spans="4:4" s="30" customFormat="1">
      <c r="D48" s="32"/>
    </row>
    <row r="49" spans="4:4" s="30" customFormat="1">
      <c r="D49" s="32"/>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25"/>
  <sheetViews>
    <sheetView zoomScale="80" zoomScaleNormal="80" workbookViewId="0">
      <pane xSplit="1" ySplit="1" topLeftCell="B99" activePane="bottomRight" state="frozen"/>
      <selection pane="topRight" activeCell="B1" sqref="B1"/>
      <selection pane="bottomLeft" activeCell="A2" sqref="A2"/>
      <selection pane="bottomRight" activeCell="AA120" sqref="AA120"/>
    </sheetView>
  </sheetViews>
  <sheetFormatPr defaultColWidth="9.28515625" defaultRowHeight="14.25"/>
  <cols>
    <col min="1" max="1" width="2.28515625" style="157" customWidth="1"/>
    <col min="2" max="2" width="38.7109375" style="157" hidden="1" customWidth="1"/>
    <col min="3" max="3" width="13.5703125" style="154" hidden="1" customWidth="1"/>
    <col min="4" max="4" width="13.7109375" style="154" hidden="1" customWidth="1"/>
    <col min="5" max="5" width="16.42578125" style="154" hidden="1" customWidth="1"/>
    <col min="6" max="6" width="14.28515625" style="154" hidden="1" customWidth="1"/>
    <col min="7" max="7" width="17.28515625" style="154" hidden="1" customWidth="1"/>
    <col min="8" max="8" width="4.5703125" style="154" hidden="1" customWidth="1"/>
    <col min="9" max="9" width="38.7109375" style="157" hidden="1" customWidth="1"/>
    <col min="10" max="10" width="13.5703125" style="154" hidden="1" customWidth="1"/>
    <col min="11" max="11" width="13.7109375" style="154" hidden="1" customWidth="1"/>
    <col min="12" max="12" width="16.42578125" style="154" hidden="1" customWidth="1"/>
    <col min="13" max="13" width="14.28515625" style="154" hidden="1" customWidth="1"/>
    <col min="14" max="14" width="17.28515625" style="154" hidden="1" customWidth="1"/>
    <col min="15" max="15" width="4.5703125" style="154" customWidth="1"/>
    <col min="16" max="16" width="38.7109375" style="157" hidden="1" customWidth="1"/>
    <col min="17" max="17" width="13.5703125" style="154" hidden="1" customWidth="1"/>
    <col min="18" max="18" width="13.7109375" style="154" hidden="1" customWidth="1"/>
    <col min="19" max="19" width="16.42578125" style="154" hidden="1" customWidth="1"/>
    <col min="20" max="20" width="14.28515625" style="154" hidden="1" customWidth="1"/>
    <col min="21" max="21" width="17.28515625" style="154" hidden="1" customWidth="1"/>
    <col min="22" max="22" width="4.5703125" style="154" customWidth="1"/>
    <col min="23" max="23" width="55.42578125" style="154" customWidth="1"/>
    <col min="24" max="24" width="14.5703125" style="154" customWidth="1"/>
    <col min="25" max="27" width="17.28515625" style="154" customWidth="1"/>
    <col min="28" max="28" width="17.28515625" style="181" customWidth="1"/>
    <col min="29" max="29" width="1.7109375" style="157" customWidth="1"/>
    <col min="30" max="30" width="12" style="157" customWidth="1"/>
    <col min="31" max="32" width="9.28515625" style="157" customWidth="1"/>
    <col min="33" max="16384" width="9.28515625" style="157"/>
  </cols>
  <sheetData>
    <row r="1" spans="2:31" s="151" customFormat="1" ht="20.25">
      <c r="B1" s="143" t="s">
        <v>424</v>
      </c>
      <c r="C1" s="144"/>
      <c r="D1" s="145"/>
      <c r="E1" s="145"/>
      <c r="F1" s="145"/>
      <c r="G1" s="145"/>
      <c r="H1" s="146"/>
      <c r="I1" s="143" t="s">
        <v>417</v>
      </c>
      <c r="J1" s="144"/>
      <c r="K1" s="145"/>
      <c r="L1" s="145"/>
      <c r="M1" s="145"/>
      <c r="N1" s="145"/>
      <c r="O1" s="146"/>
      <c r="P1" s="147" t="s">
        <v>418</v>
      </c>
      <c r="Q1" s="144"/>
      <c r="R1" s="145"/>
      <c r="S1" s="145"/>
      <c r="T1" s="145"/>
      <c r="U1" s="145"/>
      <c r="V1" s="146"/>
      <c r="W1" s="148" t="s">
        <v>419</v>
      </c>
      <c r="X1" s="149"/>
      <c r="Y1" s="149"/>
      <c r="Z1" s="149"/>
      <c r="AA1" s="149"/>
      <c r="AB1" s="150"/>
    </row>
    <row r="2" spans="2:31" ht="15.75">
      <c r="B2" s="152"/>
      <c r="C2" s="153"/>
      <c r="D2" s="153"/>
      <c r="E2" s="153"/>
      <c r="F2" s="153"/>
      <c r="G2" s="153"/>
      <c r="I2" s="152"/>
      <c r="J2" s="153"/>
      <c r="K2" s="153"/>
      <c r="L2" s="153"/>
      <c r="M2" s="153"/>
      <c r="N2" s="153"/>
      <c r="P2" s="152"/>
      <c r="Q2" s="153"/>
      <c r="R2" s="153"/>
      <c r="S2" s="153"/>
      <c r="T2" s="153"/>
      <c r="U2" s="153"/>
      <c r="W2" s="155"/>
      <c r="X2" s="155"/>
      <c r="Y2" s="155"/>
      <c r="Z2" s="155"/>
      <c r="AA2" s="155"/>
      <c r="AB2" s="156"/>
    </row>
    <row r="3" spans="2:31" ht="15.75">
      <c r="B3" s="158" t="s">
        <v>41</v>
      </c>
      <c r="C3" s="159"/>
      <c r="D3" s="159"/>
      <c r="E3" s="159"/>
      <c r="F3" s="159"/>
      <c r="G3" s="160"/>
      <c r="I3" s="158" t="s">
        <v>41</v>
      </c>
      <c r="J3" s="159"/>
      <c r="K3" s="159"/>
      <c r="L3" s="159"/>
      <c r="M3" s="159"/>
      <c r="N3" s="160"/>
      <c r="P3" s="158" t="s">
        <v>41</v>
      </c>
      <c r="Q3" s="159"/>
      <c r="R3" s="159"/>
      <c r="S3" s="159"/>
      <c r="T3" s="159"/>
      <c r="U3" s="160"/>
      <c r="W3" s="161" t="s">
        <v>41</v>
      </c>
      <c r="X3" s="162"/>
      <c r="Y3" s="162"/>
      <c r="Z3" s="162"/>
      <c r="AA3" s="162"/>
      <c r="AB3" s="163"/>
    </row>
    <row r="4" spans="2:31" s="154" customFormat="1" ht="39" customHeight="1">
      <c r="B4" s="164" t="s">
        <v>42</v>
      </c>
      <c r="C4" s="164" t="s">
        <v>43</v>
      </c>
      <c r="D4" s="164" t="s">
        <v>44</v>
      </c>
      <c r="E4" s="164" t="s">
        <v>45</v>
      </c>
      <c r="F4" s="164" t="s">
        <v>46</v>
      </c>
      <c r="G4" s="164" t="s">
        <v>47</v>
      </c>
      <c r="I4" s="164" t="s">
        <v>42</v>
      </c>
      <c r="J4" s="164" t="s">
        <v>43</v>
      </c>
      <c r="K4" s="164" t="s">
        <v>44</v>
      </c>
      <c r="L4" s="164" t="s">
        <v>45</v>
      </c>
      <c r="M4" s="164" t="s">
        <v>46</v>
      </c>
      <c r="N4" s="164" t="s">
        <v>47</v>
      </c>
      <c r="P4" s="164" t="s">
        <v>42</v>
      </c>
      <c r="Q4" s="164" t="s">
        <v>43</v>
      </c>
      <c r="R4" s="164" t="s">
        <v>44</v>
      </c>
      <c r="S4" s="164" t="s">
        <v>45</v>
      </c>
      <c r="T4" s="164" t="s">
        <v>46</v>
      </c>
      <c r="U4" s="164" t="s">
        <v>47</v>
      </c>
      <c r="W4" s="164" t="s">
        <v>42</v>
      </c>
      <c r="X4" s="164" t="s">
        <v>43</v>
      </c>
      <c r="Y4" s="164" t="s">
        <v>44</v>
      </c>
      <c r="Z4" s="164" t="s">
        <v>45</v>
      </c>
      <c r="AA4" s="164" t="s">
        <v>46</v>
      </c>
      <c r="AB4" s="164" t="s">
        <v>47</v>
      </c>
    </row>
    <row r="5" spans="2:31" ht="30.75" customHeight="1">
      <c r="B5" s="227" t="s">
        <v>48</v>
      </c>
      <c r="C5" s="167">
        <f>COUNTIF('1. All Data'!$H$3:$H$134,"Fully Achieved")</f>
        <v>9</v>
      </c>
      <c r="D5" s="168">
        <f>C5/C16</f>
        <v>6.8181818181818177E-2</v>
      </c>
      <c r="E5" s="413">
        <f>D5+D6</f>
        <v>0.62878787878787867</v>
      </c>
      <c r="F5" s="168">
        <f>C5/C17</f>
        <v>0.10112359550561797</v>
      </c>
      <c r="G5" s="415">
        <f>F5+F6</f>
        <v>0.93258426966292141</v>
      </c>
      <c r="I5" s="227" t="s">
        <v>48</v>
      </c>
      <c r="J5" s="167">
        <f>COUNTIF('1. All Data'!$M$3:$M$136,"Fully Achieved")</f>
        <v>37</v>
      </c>
      <c r="K5" s="168">
        <f>J5/J16</f>
        <v>0.28030303030303028</v>
      </c>
      <c r="L5" s="413">
        <f>K5+K6</f>
        <v>0.86363636363636365</v>
      </c>
      <c r="M5" s="168">
        <f>J5/J17</f>
        <v>0.30578512396694213</v>
      </c>
      <c r="N5" s="415">
        <f>M5+M6</f>
        <v>0.94214876033057848</v>
      </c>
      <c r="P5" s="227" t="s">
        <v>48</v>
      </c>
      <c r="Q5" s="167">
        <f>COUNTIF('1. All Data'!$R$3:$R$134,"Fully Achieved")</f>
        <v>70</v>
      </c>
      <c r="R5" s="168">
        <f>Q5/Q16</f>
        <v>0.53030303030303028</v>
      </c>
      <c r="S5" s="413">
        <f>R5+R6</f>
        <v>0.89393939393939392</v>
      </c>
      <c r="T5" s="168">
        <f>Q5/Q17</f>
        <v>0.55555555555555558</v>
      </c>
      <c r="U5" s="415">
        <f>T5+T6</f>
        <v>0.93650793650793651</v>
      </c>
      <c r="W5" s="227" t="s">
        <v>48</v>
      </c>
      <c r="X5" s="167">
        <f>COUNTIF('1. All Data'!$V$3:$V$134,"Fully Achieved")</f>
        <v>117</v>
      </c>
      <c r="Y5" s="168">
        <f t="shared" ref="Y5:Y15" si="0">X5/$X$16</f>
        <v>0.88636363636363635</v>
      </c>
      <c r="Z5" s="413">
        <f>SUM(Y5:Y6)</f>
        <v>0.9242424242424242</v>
      </c>
      <c r="AA5" s="168">
        <f t="shared" ref="AA5:AA11" si="1">X5/$X$17</f>
        <v>0.9</v>
      </c>
      <c r="AB5" s="415">
        <f>AA5+AA6</f>
        <v>0.93846153846153846</v>
      </c>
      <c r="AD5" s="431">
        <f>AB5</f>
        <v>0.93846153846153846</v>
      </c>
    </row>
    <row r="6" spans="2:31" ht="30.75" customHeight="1">
      <c r="B6" s="227" t="s">
        <v>31</v>
      </c>
      <c r="C6" s="167">
        <f>COUNTIF('1. All Data'!$H$3:$H$134,"On Track to be Achieved")</f>
        <v>74</v>
      </c>
      <c r="D6" s="168">
        <f>C6/C16</f>
        <v>0.56060606060606055</v>
      </c>
      <c r="E6" s="413"/>
      <c r="F6" s="168">
        <f>C6/C17</f>
        <v>0.8314606741573034</v>
      </c>
      <c r="G6" s="415"/>
      <c r="I6" s="227" t="s">
        <v>31</v>
      </c>
      <c r="J6" s="167">
        <f>COUNTIF('1. All Data'!$M$3:$M$136,"On Track to be Achieved")</f>
        <v>77</v>
      </c>
      <c r="K6" s="168">
        <f>J6/J16</f>
        <v>0.58333333333333337</v>
      </c>
      <c r="L6" s="413"/>
      <c r="M6" s="168">
        <f>J6/J17</f>
        <v>0.63636363636363635</v>
      </c>
      <c r="N6" s="415"/>
      <c r="P6" s="227" t="s">
        <v>31</v>
      </c>
      <c r="Q6" s="167">
        <f>COUNTIF('1. All Data'!$R$3:$R$134,"On Track to be Achieved")</f>
        <v>48</v>
      </c>
      <c r="R6" s="168">
        <f>Q6/Q16</f>
        <v>0.36363636363636365</v>
      </c>
      <c r="S6" s="413"/>
      <c r="T6" s="168">
        <f>Q6/Q17</f>
        <v>0.38095238095238093</v>
      </c>
      <c r="U6" s="415"/>
      <c r="W6" s="227" t="s">
        <v>23</v>
      </c>
      <c r="X6" s="167">
        <f>COUNTIF('1. All Data'!$V$3:$V$134,"Numerical Outturn Within 5% Tolerance")</f>
        <v>5</v>
      </c>
      <c r="Y6" s="168">
        <f t="shared" si="0"/>
        <v>3.787878787878788E-2</v>
      </c>
      <c r="Z6" s="413"/>
      <c r="AA6" s="168">
        <f t="shared" si="1"/>
        <v>3.8461538461538464E-2</v>
      </c>
      <c r="AB6" s="415"/>
      <c r="AD6" s="431"/>
    </row>
    <row r="7" spans="2:31" ht="18.75" customHeight="1">
      <c r="B7" s="423" t="s">
        <v>32</v>
      </c>
      <c r="C7" s="426">
        <f>COUNTIF('1. All Data'!$H$3:$H$134,"In Danger of Falling Behind Target")</f>
        <v>6</v>
      </c>
      <c r="D7" s="416">
        <f>C7/C16</f>
        <v>4.5454545454545456E-2</v>
      </c>
      <c r="E7" s="416">
        <f>D7</f>
        <v>4.5454545454545456E-2</v>
      </c>
      <c r="F7" s="416">
        <f>C7/C17</f>
        <v>6.741573033707865E-2</v>
      </c>
      <c r="G7" s="419">
        <f>F7</f>
        <v>6.741573033707865E-2</v>
      </c>
      <c r="I7" s="423" t="s">
        <v>32</v>
      </c>
      <c r="J7" s="426">
        <f>COUNTIF('1. All Data'!$M$3:$M$136,"In Danger of Falling Behind Target")</f>
        <v>2</v>
      </c>
      <c r="K7" s="416">
        <f>J7/J16</f>
        <v>1.5151515151515152E-2</v>
      </c>
      <c r="L7" s="416">
        <f>K7</f>
        <v>1.5151515151515152E-2</v>
      </c>
      <c r="M7" s="416">
        <f>J7/J17</f>
        <v>1.6528925619834711E-2</v>
      </c>
      <c r="N7" s="419">
        <f>M7</f>
        <v>1.6528925619834711E-2</v>
      </c>
      <c r="P7" s="423" t="s">
        <v>32</v>
      </c>
      <c r="Q7" s="426">
        <f>COUNTIF('1. All Data'!$R$3:$R$134,"In Danger of Falling Behind Target")</f>
        <v>3</v>
      </c>
      <c r="R7" s="416">
        <f>Q7/Q16</f>
        <v>2.2727272727272728E-2</v>
      </c>
      <c r="S7" s="416">
        <f>R7</f>
        <v>2.2727272727272728E-2</v>
      </c>
      <c r="T7" s="416">
        <f>Q7/Q17</f>
        <v>2.3809523809523808E-2</v>
      </c>
      <c r="U7" s="419">
        <f>T7</f>
        <v>2.3809523809523808E-2</v>
      </c>
      <c r="W7" s="169" t="s">
        <v>24</v>
      </c>
      <c r="X7" s="170">
        <f>COUNTIF('1. All Data'!$V$3:$V$134,"Numerical Outturn Within 10% Tolerance")</f>
        <v>1</v>
      </c>
      <c r="Y7" s="168">
        <f t="shared" si="0"/>
        <v>7.575757575757576E-3</v>
      </c>
      <c r="Z7" s="413">
        <f>SUM(Y7:Y9)</f>
        <v>1.5151515151515152E-2</v>
      </c>
      <c r="AA7" s="168">
        <f t="shared" si="1"/>
        <v>7.6923076923076927E-3</v>
      </c>
      <c r="AB7" s="422">
        <f>SUM(AA7:AA9)</f>
        <v>1.5384615384615385E-2</v>
      </c>
      <c r="AD7" s="429">
        <f>SUM(AB7:AB11)</f>
        <v>6.1538461538461542E-2</v>
      </c>
    </row>
    <row r="8" spans="2:31" ht="19.5" customHeight="1">
      <c r="B8" s="424"/>
      <c r="C8" s="427"/>
      <c r="D8" s="417"/>
      <c r="E8" s="417"/>
      <c r="F8" s="417"/>
      <c r="G8" s="420"/>
      <c r="I8" s="424"/>
      <c r="J8" s="427"/>
      <c r="K8" s="417"/>
      <c r="L8" s="417"/>
      <c r="M8" s="417"/>
      <c r="N8" s="420"/>
      <c r="P8" s="424"/>
      <c r="Q8" s="427"/>
      <c r="R8" s="417"/>
      <c r="S8" s="417"/>
      <c r="T8" s="417"/>
      <c r="U8" s="420"/>
      <c r="W8" s="169" t="s">
        <v>25</v>
      </c>
      <c r="X8" s="170">
        <f>COUNTIF('1. All Data'!$V$3:$V$134,"Target Partially Met")</f>
        <v>0</v>
      </c>
      <c r="Y8" s="168">
        <f t="shared" si="0"/>
        <v>0</v>
      </c>
      <c r="Z8" s="413"/>
      <c r="AA8" s="168">
        <f t="shared" si="1"/>
        <v>0</v>
      </c>
      <c r="AB8" s="422"/>
      <c r="AD8" s="430"/>
    </row>
    <row r="9" spans="2:31" ht="19.5" customHeight="1">
      <c r="B9" s="425"/>
      <c r="C9" s="428"/>
      <c r="D9" s="418"/>
      <c r="E9" s="418"/>
      <c r="F9" s="418"/>
      <c r="G9" s="421"/>
      <c r="I9" s="425"/>
      <c r="J9" s="428"/>
      <c r="K9" s="418"/>
      <c r="L9" s="418"/>
      <c r="M9" s="418"/>
      <c r="N9" s="421"/>
      <c r="P9" s="425"/>
      <c r="Q9" s="428"/>
      <c r="R9" s="418"/>
      <c r="S9" s="418"/>
      <c r="T9" s="418"/>
      <c r="U9" s="421"/>
      <c r="W9" s="169" t="s">
        <v>28</v>
      </c>
      <c r="X9" s="170">
        <f>COUNTIF('1. All Data'!$V$3:$V$134,"Completion Date Within Reasonable Tolerance")</f>
        <v>1</v>
      </c>
      <c r="Y9" s="168">
        <f t="shared" si="0"/>
        <v>7.575757575757576E-3</v>
      </c>
      <c r="Z9" s="413"/>
      <c r="AA9" s="168">
        <f t="shared" si="1"/>
        <v>7.6923076923076927E-3</v>
      </c>
      <c r="AB9" s="422"/>
      <c r="AD9" s="430"/>
    </row>
    <row r="10" spans="2:31" ht="29.25" customHeight="1">
      <c r="B10" s="171" t="s">
        <v>33</v>
      </c>
      <c r="C10" s="167">
        <f>COUNTIF('1. All Data'!H3:H134,"completed behind schedule")</f>
        <v>0</v>
      </c>
      <c r="D10" s="168">
        <f>C10/C16</f>
        <v>0</v>
      </c>
      <c r="E10" s="413">
        <f>D10+D11</f>
        <v>0</v>
      </c>
      <c r="F10" s="168">
        <f>C10/C17</f>
        <v>0</v>
      </c>
      <c r="G10" s="414">
        <f>F10+F11</f>
        <v>0</v>
      </c>
      <c r="I10" s="171" t="s">
        <v>33</v>
      </c>
      <c r="J10" s="167">
        <f>COUNTIF('1. All Data'!M3:M136,"Completed Behind Schedule")</f>
        <v>0</v>
      </c>
      <c r="K10" s="168">
        <f>J10/J16</f>
        <v>0</v>
      </c>
      <c r="L10" s="413">
        <f>K10+K11</f>
        <v>3.787878787878788E-2</v>
      </c>
      <c r="M10" s="168">
        <f>J10/J17</f>
        <v>0</v>
      </c>
      <c r="N10" s="414">
        <f>M10+M11</f>
        <v>4.1322314049586778E-2</v>
      </c>
      <c r="P10" s="171" t="s">
        <v>33</v>
      </c>
      <c r="Q10" s="167">
        <f>COUNTIF('1. All Data'!R3:R134,"completed behind schedule")</f>
        <v>2</v>
      </c>
      <c r="R10" s="168">
        <f>Q10/Q16</f>
        <v>1.5151515151515152E-2</v>
      </c>
      <c r="S10" s="413">
        <f>R10+R11</f>
        <v>3.787878787878788E-2</v>
      </c>
      <c r="T10" s="168">
        <f>Q10/Q17</f>
        <v>1.5873015873015872E-2</v>
      </c>
      <c r="U10" s="414">
        <f>T10+T11</f>
        <v>3.968253968253968E-2</v>
      </c>
      <c r="W10" s="171" t="s">
        <v>27</v>
      </c>
      <c r="X10" s="167">
        <f>COUNTIF('1. All Data'!V3:V134,"Completed Significantly After Target Deadline")</f>
        <v>1</v>
      </c>
      <c r="Y10" s="168">
        <f t="shared" si="0"/>
        <v>7.575757575757576E-3</v>
      </c>
      <c r="Z10" s="413">
        <f>SUM(Y10:Y11)</f>
        <v>4.5454545454545456E-2</v>
      </c>
      <c r="AA10" s="168">
        <f t="shared" si="1"/>
        <v>7.6923076923076927E-3</v>
      </c>
      <c r="AB10" s="414">
        <f>SUM(AA10:AA11)</f>
        <v>4.6153846153846156E-2</v>
      </c>
      <c r="AD10" s="430"/>
    </row>
    <row r="11" spans="2:31" ht="29.25" customHeight="1">
      <c r="B11" s="171" t="s">
        <v>26</v>
      </c>
      <c r="C11" s="167">
        <f>COUNTIF('1. All Data'!H3:H134,"off target")</f>
        <v>0</v>
      </c>
      <c r="D11" s="168">
        <f>C11/C16</f>
        <v>0</v>
      </c>
      <c r="E11" s="413"/>
      <c r="F11" s="168">
        <f>C11/C17</f>
        <v>0</v>
      </c>
      <c r="G11" s="414"/>
      <c r="I11" s="171" t="s">
        <v>26</v>
      </c>
      <c r="J11" s="167">
        <f>COUNTIF('1. All Data'!M3:M136,"Off Target")</f>
        <v>5</v>
      </c>
      <c r="K11" s="168">
        <f>J11/J16</f>
        <v>3.787878787878788E-2</v>
      </c>
      <c r="L11" s="413"/>
      <c r="M11" s="168">
        <f>J11/J17</f>
        <v>4.1322314049586778E-2</v>
      </c>
      <c r="N11" s="414"/>
      <c r="P11" s="171" t="s">
        <v>26</v>
      </c>
      <c r="Q11" s="167">
        <f>COUNTIF('1. All Data'!R3:R134,"off target")</f>
        <v>3</v>
      </c>
      <c r="R11" s="168">
        <f>Q11/Q16</f>
        <v>2.2727272727272728E-2</v>
      </c>
      <c r="S11" s="413"/>
      <c r="T11" s="168">
        <f>Q11/Q17</f>
        <v>2.3809523809523808E-2</v>
      </c>
      <c r="U11" s="414"/>
      <c r="W11" s="171" t="s">
        <v>26</v>
      </c>
      <c r="X11" s="167">
        <f>COUNTIF('1. All Data'!V3:V134,"off target")</f>
        <v>5</v>
      </c>
      <c r="Y11" s="168">
        <f t="shared" si="0"/>
        <v>3.787878787878788E-2</v>
      </c>
      <c r="Z11" s="413"/>
      <c r="AA11" s="168">
        <f t="shared" si="1"/>
        <v>3.8461538461538464E-2</v>
      </c>
      <c r="AB11" s="414"/>
      <c r="AD11" s="430"/>
    </row>
    <row r="12" spans="2:31" ht="20.25" customHeight="1">
      <c r="B12" s="172" t="s">
        <v>49</v>
      </c>
      <c r="C12" s="167">
        <f>COUNTIF('1. All Data'!H3:H134,"not yet due")</f>
        <v>43</v>
      </c>
      <c r="D12" s="173">
        <f>C12/C16</f>
        <v>0.32575757575757575</v>
      </c>
      <c r="E12" s="173">
        <f>D12</f>
        <v>0.32575757575757575</v>
      </c>
      <c r="F12" s="174"/>
      <c r="G12" s="58"/>
      <c r="I12" s="172" t="s">
        <v>49</v>
      </c>
      <c r="J12" s="167">
        <f>COUNTIF('1. All Data'!M3:M136,"not yet due")</f>
        <v>9</v>
      </c>
      <c r="K12" s="173">
        <f>J12/J16</f>
        <v>6.8181818181818177E-2</v>
      </c>
      <c r="L12" s="173">
        <f>K12</f>
        <v>6.8181818181818177E-2</v>
      </c>
      <c r="M12" s="174"/>
      <c r="N12" s="58"/>
      <c r="P12" s="172" t="s">
        <v>49</v>
      </c>
      <c r="Q12" s="167">
        <f>COUNTIF('1. All Data'!R3:R134,"not yet due")</f>
        <v>4</v>
      </c>
      <c r="R12" s="173">
        <f>Q12/Q16</f>
        <v>3.0303030303030304E-2</v>
      </c>
      <c r="S12" s="173">
        <f>R12</f>
        <v>3.0303030303030304E-2</v>
      </c>
      <c r="T12" s="174"/>
      <c r="U12" s="58"/>
      <c r="W12" s="172" t="s">
        <v>49</v>
      </c>
      <c r="X12" s="167">
        <f>COUNTIF('1. All Data'!V3:V134,"not yet due")</f>
        <v>0</v>
      </c>
      <c r="Y12" s="168">
        <f t="shared" si="0"/>
        <v>0</v>
      </c>
      <c r="Z12" s="173">
        <f>Y12</f>
        <v>0</v>
      </c>
      <c r="AA12" s="174"/>
      <c r="AB12" s="58"/>
    </row>
    <row r="13" spans="2:31" ht="20.25" customHeight="1">
      <c r="B13" s="172" t="s">
        <v>21</v>
      </c>
      <c r="C13" s="167">
        <f>COUNTIF('1. All Data'!H3:H134,"update not provided")</f>
        <v>0</v>
      </c>
      <c r="D13" s="173">
        <f>C13/C16</f>
        <v>0</v>
      </c>
      <c r="E13" s="173">
        <f>D13</f>
        <v>0</v>
      </c>
      <c r="F13" s="174"/>
      <c r="G13" s="2"/>
      <c r="I13" s="172" t="s">
        <v>21</v>
      </c>
      <c r="J13" s="167">
        <f>COUNTIF('1. All Data'!M3:M136,"update not provided")</f>
        <v>0</v>
      </c>
      <c r="K13" s="173">
        <f>J13/J16</f>
        <v>0</v>
      </c>
      <c r="L13" s="173">
        <f>K13</f>
        <v>0</v>
      </c>
      <c r="M13" s="174"/>
      <c r="N13" s="2"/>
      <c r="P13" s="172" t="s">
        <v>21</v>
      </c>
      <c r="Q13" s="167">
        <f>COUNTIF('1. All Data'!R3:R134,"update not provided")</f>
        <v>0</v>
      </c>
      <c r="R13" s="173">
        <f>Q13/Q16</f>
        <v>0</v>
      </c>
      <c r="S13" s="173">
        <f>R13</f>
        <v>0</v>
      </c>
      <c r="T13" s="174"/>
      <c r="U13" s="2"/>
      <c r="W13" s="172" t="s">
        <v>21</v>
      </c>
      <c r="X13" s="167">
        <f>COUNTIF('1. All Data'!V3:V134,"update not provided")</f>
        <v>0</v>
      </c>
      <c r="Y13" s="168">
        <f t="shared" si="0"/>
        <v>0</v>
      </c>
      <c r="Z13" s="173">
        <f>Y13</f>
        <v>0</v>
      </c>
      <c r="AA13" s="174"/>
      <c r="AB13" s="2"/>
    </row>
    <row r="14" spans="2:31" ht="15.75" customHeight="1">
      <c r="B14" s="175" t="s">
        <v>29</v>
      </c>
      <c r="C14" s="167">
        <f>COUNTIF('1. All Data'!H3:H134,"deferred")</f>
        <v>0</v>
      </c>
      <c r="D14" s="176">
        <f>C14/C16</f>
        <v>0</v>
      </c>
      <c r="E14" s="176">
        <f>D14</f>
        <v>0</v>
      </c>
      <c r="F14" s="177"/>
      <c r="G14" s="58"/>
      <c r="I14" s="175" t="s">
        <v>29</v>
      </c>
      <c r="J14" s="167">
        <f>COUNTIF('1. All Data'!M3:M136,"deferred")</f>
        <v>0</v>
      </c>
      <c r="K14" s="176">
        <f>J14/J16</f>
        <v>0</v>
      </c>
      <c r="L14" s="176">
        <f>K14</f>
        <v>0</v>
      </c>
      <c r="M14" s="177"/>
      <c r="N14" s="58"/>
      <c r="P14" s="175" t="s">
        <v>29</v>
      </c>
      <c r="Q14" s="167">
        <f>COUNTIF('1. All Data'!R3:R134,"deferred")</f>
        <v>0</v>
      </c>
      <c r="R14" s="176">
        <f>Q14/Q16</f>
        <v>0</v>
      </c>
      <c r="S14" s="176">
        <f>R14</f>
        <v>0</v>
      </c>
      <c r="T14" s="177"/>
      <c r="U14" s="58"/>
      <c r="W14" s="175" t="s">
        <v>29</v>
      </c>
      <c r="X14" s="167">
        <f>COUNTIF('1. All Data'!V3:V134,"deferred")</f>
        <v>0</v>
      </c>
      <c r="Y14" s="168">
        <f t="shared" si="0"/>
        <v>0</v>
      </c>
      <c r="Z14" s="173">
        <f>Y14</f>
        <v>0</v>
      </c>
      <c r="AA14" s="177"/>
      <c r="AB14" s="58"/>
    </row>
    <row r="15" spans="2:31" ht="15.75" customHeight="1">
      <c r="B15" s="175" t="s">
        <v>30</v>
      </c>
      <c r="C15" s="167">
        <f>COUNTIF('1. All Data'!H3:H134,"deleted")</f>
        <v>0</v>
      </c>
      <c r="D15" s="176">
        <f>C15/C16</f>
        <v>0</v>
      </c>
      <c r="E15" s="176">
        <f>D15</f>
        <v>0</v>
      </c>
      <c r="F15" s="177"/>
      <c r="G15" s="3"/>
      <c r="I15" s="175" t="s">
        <v>30</v>
      </c>
      <c r="J15" s="167">
        <f>COUNTIF('1. All Data'!M3:M136,"deleted")</f>
        <v>2</v>
      </c>
      <c r="K15" s="176">
        <f>J15/J16</f>
        <v>1.5151515151515152E-2</v>
      </c>
      <c r="L15" s="176">
        <f>K15</f>
        <v>1.5151515151515152E-2</v>
      </c>
      <c r="M15" s="177"/>
      <c r="P15" s="175" t="s">
        <v>30</v>
      </c>
      <c r="Q15" s="167">
        <f>COUNTIF('1. All Data'!R3:R134,"deleted")</f>
        <v>2</v>
      </c>
      <c r="R15" s="176">
        <f>Q15/Q16</f>
        <v>1.5151515151515152E-2</v>
      </c>
      <c r="S15" s="176">
        <f>R15</f>
        <v>1.5151515151515152E-2</v>
      </c>
      <c r="T15" s="177"/>
      <c r="U15" s="3"/>
      <c r="W15" s="175" t="s">
        <v>30</v>
      </c>
      <c r="X15" s="167">
        <f>COUNTIF('1. All Data'!V3:V134,"deleted")</f>
        <v>2</v>
      </c>
      <c r="Y15" s="168">
        <f t="shared" si="0"/>
        <v>1.5151515151515152E-2</v>
      </c>
      <c r="Z15" s="173">
        <f t="shared" ref="Z15" si="2">Y15</f>
        <v>1.5151515151515152E-2</v>
      </c>
      <c r="AA15" s="177"/>
      <c r="AB15" s="3"/>
      <c r="AE15" s="3"/>
    </row>
    <row r="16" spans="2:31" ht="15.75" customHeight="1">
      <c r="B16" s="178" t="s">
        <v>51</v>
      </c>
      <c r="C16" s="179">
        <f>SUM(C5:C15)</f>
        <v>132</v>
      </c>
      <c r="D16" s="177"/>
      <c r="E16" s="177"/>
      <c r="F16" s="58"/>
      <c r="G16" s="58"/>
      <c r="I16" s="178" t="s">
        <v>51</v>
      </c>
      <c r="J16" s="179">
        <f>SUM(J5:J15)</f>
        <v>132</v>
      </c>
      <c r="K16" s="177"/>
      <c r="L16" s="177"/>
      <c r="M16" s="58"/>
      <c r="N16" s="58"/>
      <c r="P16" s="178" t="s">
        <v>51</v>
      </c>
      <c r="Q16" s="179">
        <f>SUM(Q5:Q15)</f>
        <v>132</v>
      </c>
      <c r="R16" s="177"/>
      <c r="S16" s="177"/>
      <c r="T16" s="58"/>
      <c r="U16" s="58"/>
      <c r="W16" s="178" t="s">
        <v>51</v>
      </c>
      <c r="X16" s="179">
        <f>SUM(X5:X15)</f>
        <v>132</v>
      </c>
      <c r="Y16" s="177"/>
      <c r="Z16" s="177"/>
      <c r="AA16" s="58"/>
      <c r="AB16" s="58"/>
    </row>
    <row r="17" spans="2:28" ht="15.75" customHeight="1">
      <c r="B17" s="178" t="s">
        <v>52</v>
      </c>
      <c r="C17" s="179">
        <f>C16-C15-C14-C13-C12</f>
        <v>89</v>
      </c>
      <c r="D17" s="58"/>
      <c r="E17" s="58"/>
      <c r="F17" s="58"/>
      <c r="G17" s="58"/>
      <c r="I17" s="178" t="s">
        <v>52</v>
      </c>
      <c r="J17" s="179">
        <f>J16-J15-J14-J13-J12</f>
        <v>121</v>
      </c>
      <c r="K17" s="58"/>
      <c r="L17" s="58"/>
      <c r="M17" s="58"/>
      <c r="N17" s="58"/>
      <c r="P17" s="178" t="s">
        <v>52</v>
      </c>
      <c r="Q17" s="179">
        <f>Q16-Q15-Q14-Q13-Q12</f>
        <v>126</v>
      </c>
      <c r="R17" s="58"/>
      <c r="S17" s="58"/>
      <c r="T17" s="58"/>
      <c r="U17" s="58"/>
      <c r="W17" s="178" t="s">
        <v>52</v>
      </c>
      <c r="X17" s="179">
        <f>X16-X15-X14-X13-X12</f>
        <v>130</v>
      </c>
      <c r="Y17" s="58"/>
      <c r="Z17" s="58"/>
      <c r="AA17" s="58"/>
      <c r="AB17" s="58"/>
    </row>
    <row r="18" spans="2:28" ht="15.75" customHeight="1">
      <c r="W18" s="180"/>
      <c r="AA18" s="2"/>
    </row>
    <row r="19" spans="2:28" ht="15.75" hidden="1" customHeight="1">
      <c r="AA19" s="2"/>
    </row>
    <row r="20" spans="2:28" ht="15" hidden="1" customHeight="1">
      <c r="AA20" s="2"/>
    </row>
    <row r="21" spans="2:28" ht="19.5" customHeight="1">
      <c r="B21" s="182" t="s">
        <v>411</v>
      </c>
      <c r="C21" s="183"/>
      <c r="D21" s="183"/>
      <c r="E21" s="183"/>
      <c r="F21" s="159"/>
      <c r="G21" s="184"/>
      <c r="I21" s="182" t="s">
        <v>411</v>
      </c>
      <c r="J21" s="183"/>
      <c r="K21" s="183"/>
      <c r="L21" s="183"/>
      <c r="M21" s="159"/>
      <c r="N21" s="184"/>
      <c r="P21" s="182" t="s">
        <v>411</v>
      </c>
      <c r="Q21" s="183"/>
      <c r="R21" s="183"/>
      <c r="S21" s="183"/>
      <c r="T21" s="159"/>
      <c r="U21" s="184"/>
      <c r="W21" s="182" t="s">
        <v>411</v>
      </c>
      <c r="X21" s="162"/>
      <c r="Y21" s="162"/>
      <c r="Z21" s="162"/>
      <c r="AA21" s="162"/>
      <c r="AB21" s="163"/>
    </row>
    <row r="22" spans="2:28" ht="42" customHeight="1">
      <c r="B22" s="164" t="s">
        <v>42</v>
      </c>
      <c r="C22" s="164" t="s">
        <v>43</v>
      </c>
      <c r="D22" s="164" t="s">
        <v>44</v>
      </c>
      <c r="E22" s="164" t="s">
        <v>45</v>
      </c>
      <c r="F22" s="164" t="s">
        <v>46</v>
      </c>
      <c r="G22" s="164" t="s">
        <v>47</v>
      </c>
      <c r="I22" s="164" t="s">
        <v>42</v>
      </c>
      <c r="J22" s="164" t="s">
        <v>43</v>
      </c>
      <c r="K22" s="164" t="s">
        <v>44</v>
      </c>
      <c r="L22" s="164" t="s">
        <v>45</v>
      </c>
      <c r="M22" s="164" t="s">
        <v>46</v>
      </c>
      <c r="N22" s="164" t="s">
        <v>47</v>
      </c>
      <c r="P22" s="164" t="s">
        <v>42</v>
      </c>
      <c r="Q22" s="164" t="s">
        <v>43</v>
      </c>
      <c r="R22" s="164" t="s">
        <v>44</v>
      </c>
      <c r="S22" s="164" t="s">
        <v>45</v>
      </c>
      <c r="T22" s="164" t="s">
        <v>46</v>
      </c>
      <c r="U22" s="164" t="s">
        <v>47</v>
      </c>
      <c r="W22" s="164" t="s">
        <v>42</v>
      </c>
      <c r="X22" s="164" t="s">
        <v>43</v>
      </c>
      <c r="Y22" s="164" t="s">
        <v>44</v>
      </c>
      <c r="Z22" s="164" t="s">
        <v>45</v>
      </c>
      <c r="AA22" s="164" t="s">
        <v>46</v>
      </c>
      <c r="AB22" s="164" t="s">
        <v>47</v>
      </c>
    </row>
    <row r="23" spans="2:28" ht="21.75" customHeight="1">
      <c r="B23" s="227" t="s">
        <v>48</v>
      </c>
      <c r="C23" s="167">
        <f>COUNTIFS('1. All Data'!$AA$3:$AA$134,"Improving Local Democracy",'1. All Data'!$H$3:$H$134,"Fully Achieved")</f>
        <v>0</v>
      </c>
      <c r="D23" s="168">
        <f>C23/C34</f>
        <v>0</v>
      </c>
      <c r="E23" s="413">
        <f>D23+D24</f>
        <v>0.5</v>
      </c>
      <c r="F23" s="168">
        <f>C23/C35</f>
        <v>0</v>
      </c>
      <c r="G23" s="432">
        <f>F23+F24</f>
        <v>1</v>
      </c>
      <c r="I23" s="227" t="s">
        <v>48</v>
      </c>
      <c r="J23" s="167">
        <f>COUNTIFS('1. All Data'!$AA$3:$AA$134,"Improving Local Democracy",'1. All Data'!$M$3:$M$134,"Fully Achieved")</f>
        <v>3</v>
      </c>
      <c r="K23" s="168">
        <f>J23/J34</f>
        <v>0.5</v>
      </c>
      <c r="L23" s="413">
        <f>K23+K24</f>
        <v>1</v>
      </c>
      <c r="M23" s="168">
        <f>J23/J35</f>
        <v>0.5</v>
      </c>
      <c r="N23" s="415">
        <f>M23+M24</f>
        <v>1</v>
      </c>
      <c r="P23" s="227" t="s">
        <v>48</v>
      </c>
      <c r="Q23" s="167">
        <f>COUNTIFS('1. All Data'!$AA$3:$AA$134,"Improving Local Democracy",'1. All Data'!$R$3:$R$134,"Fully Achieved")</f>
        <v>4</v>
      </c>
      <c r="R23" s="168">
        <f>Q23/Q34</f>
        <v>0.66666666666666663</v>
      </c>
      <c r="S23" s="413">
        <f>R23+R24</f>
        <v>1</v>
      </c>
      <c r="T23" s="168">
        <f>Q23/Q35</f>
        <v>0.66666666666666663</v>
      </c>
      <c r="U23" s="415">
        <f>T23+T24</f>
        <v>1</v>
      </c>
      <c r="W23" s="227" t="s">
        <v>48</v>
      </c>
      <c r="X23" s="167">
        <f>COUNTIFS('1. All Data'!$AA$3:$AA$134,"Improving Local Democracy",'1. All Data'!$V$3:$V$134,"Fully Achieved")</f>
        <v>6</v>
      </c>
      <c r="Y23" s="168">
        <f>X23/X34</f>
        <v>1</v>
      </c>
      <c r="Z23" s="413">
        <f>Y23+Y24</f>
        <v>1</v>
      </c>
      <c r="AA23" s="168">
        <f>X23/X35</f>
        <v>1</v>
      </c>
      <c r="AB23" s="415">
        <f>AA23+AA24</f>
        <v>1</v>
      </c>
    </row>
    <row r="24" spans="2:28" ht="18.75" customHeight="1">
      <c r="B24" s="227" t="s">
        <v>31</v>
      </c>
      <c r="C24" s="167">
        <f>COUNTIFS('1. All Data'!$AA$3:$AA$134,"Improving Local Democracy",'1. All Data'!$H$3:$H$134,"On Track to be achieved")</f>
        <v>3</v>
      </c>
      <c r="D24" s="168">
        <f>C24/C34</f>
        <v>0.5</v>
      </c>
      <c r="E24" s="413"/>
      <c r="F24" s="168">
        <f>C24/C35</f>
        <v>1</v>
      </c>
      <c r="G24" s="433"/>
      <c r="I24" s="227" t="s">
        <v>31</v>
      </c>
      <c r="J24" s="167">
        <f>COUNTIFS('1. All Data'!$AA$3:$AA$134,"Improving Local Democracy",'1. All Data'!$M$3:$M$134,"On Track to be achieved")</f>
        <v>3</v>
      </c>
      <c r="K24" s="168">
        <f>J24/J34</f>
        <v>0.5</v>
      </c>
      <c r="L24" s="413"/>
      <c r="M24" s="168">
        <f>J24/J35</f>
        <v>0.5</v>
      </c>
      <c r="N24" s="415"/>
      <c r="P24" s="227" t="s">
        <v>31</v>
      </c>
      <c r="Q24" s="167">
        <f>COUNTIFS('1. All Data'!$AA$3:$AA$134,"Improving Local Democracy",'1. All Data'!$R$3:$R$134,"On Track to be achieved")</f>
        <v>2</v>
      </c>
      <c r="R24" s="168">
        <f>Q24/Q34</f>
        <v>0.33333333333333331</v>
      </c>
      <c r="S24" s="413"/>
      <c r="T24" s="168">
        <f>Q24/Q35</f>
        <v>0.33333333333333331</v>
      </c>
      <c r="U24" s="415"/>
      <c r="W24" s="227" t="s">
        <v>23</v>
      </c>
      <c r="X24" s="167">
        <f>COUNTIFS('1. All Data'!$AA$3:$AA$134,"Improving Local Democracy",'1. All Data'!$V$3:$V$134,"Numerical Outturn Within 5% Tolerance")</f>
        <v>0</v>
      </c>
      <c r="Y24" s="168">
        <f>X24/X34</f>
        <v>0</v>
      </c>
      <c r="Z24" s="413"/>
      <c r="AA24" s="168">
        <f t="shared" ref="AA24:AA29" si="3">X24/$X$35</f>
        <v>0</v>
      </c>
      <c r="AB24" s="415"/>
    </row>
    <row r="25" spans="2:28" ht="21" customHeight="1">
      <c r="B25" s="423" t="s">
        <v>32</v>
      </c>
      <c r="C25" s="426">
        <f>COUNTIFS('1. All Data'!$AA$3:$AA$134,"Improving Local Democracy",'1. All Data'!$H$3:$H$134,"In Danger of Falling Behind Target")</f>
        <v>0</v>
      </c>
      <c r="D25" s="416">
        <f>C25/C34</f>
        <v>0</v>
      </c>
      <c r="E25" s="416">
        <f>D25</f>
        <v>0</v>
      </c>
      <c r="F25" s="416">
        <f>C25/C35</f>
        <v>0</v>
      </c>
      <c r="G25" s="419">
        <f>F25</f>
        <v>0</v>
      </c>
      <c r="I25" s="423" t="s">
        <v>32</v>
      </c>
      <c r="J25" s="426">
        <f>COUNTIFS('1. All Data'!$AA$3:$AA$134,"Improving Local Democracy",'1. All Data'!$M$3:$M$134,"In Danger of Falling Behind Target")</f>
        <v>0</v>
      </c>
      <c r="K25" s="416">
        <f>J25/J34</f>
        <v>0</v>
      </c>
      <c r="L25" s="416">
        <f>K25</f>
        <v>0</v>
      </c>
      <c r="M25" s="416">
        <f>J25/J35</f>
        <v>0</v>
      </c>
      <c r="N25" s="419">
        <f>M25</f>
        <v>0</v>
      </c>
      <c r="P25" s="423" t="s">
        <v>32</v>
      </c>
      <c r="Q25" s="426">
        <f>COUNTIFS('1. All Data'!$AA$3:$AA$134,"Improving Local Democracy",'1. All Data'!$R$3:$R$134,"In Danger of Falling Behind Target")</f>
        <v>0</v>
      </c>
      <c r="R25" s="416">
        <f>Q25/Q34</f>
        <v>0</v>
      </c>
      <c r="S25" s="416">
        <f>R25</f>
        <v>0</v>
      </c>
      <c r="T25" s="416">
        <f>Q25/Q35</f>
        <v>0</v>
      </c>
      <c r="U25" s="419">
        <f>T25</f>
        <v>0</v>
      </c>
      <c r="W25" s="169" t="s">
        <v>24</v>
      </c>
      <c r="X25" s="170">
        <f>COUNTIFS('1. All Data'!$AA$3:$AA$134,"Improving Local Democracy",'1. All Data'!$V$3:$V$134,"Numerical Outturn Within 10% Tolerance")</f>
        <v>0</v>
      </c>
      <c r="Y25" s="168">
        <f>X25/$X$34</f>
        <v>0</v>
      </c>
      <c r="Z25" s="413">
        <f>SUM(Y25:Y27)</f>
        <v>0</v>
      </c>
      <c r="AA25" s="168">
        <f t="shared" si="3"/>
        <v>0</v>
      </c>
      <c r="AB25" s="422">
        <f>SUM(AA25:AA27)</f>
        <v>0</v>
      </c>
    </row>
    <row r="26" spans="2:28" ht="20.25" customHeight="1">
      <c r="B26" s="424"/>
      <c r="C26" s="427"/>
      <c r="D26" s="417"/>
      <c r="E26" s="417"/>
      <c r="F26" s="417"/>
      <c r="G26" s="420"/>
      <c r="I26" s="424"/>
      <c r="J26" s="427"/>
      <c r="K26" s="417"/>
      <c r="L26" s="417"/>
      <c r="M26" s="417"/>
      <c r="N26" s="420"/>
      <c r="P26" s="424"/>
      <c r="Q26" s="427"/>
      <c r="R26" s="417"/>
      <c r="S26" s="417"/>
      <c r="T26" s="417"/>
      <c r="U26" s="420"/>
      <c r="W26" s="169" t="s">
        <v>25</v>
      </c>
      <c r="X26" s="170">
        <f>COUNTIFS('1. All Data'!$AA$3:$AA$134,"Improving Local Democracy",'1. All Data'!$V$3:$V$134,"Target Partially Met")</f>
        <v>0</v>
      </c>
      <c r="Y26" s="168">
        <f>X26/$X$34</f>
        <v>0</v>
      </c>
      <c r="Z26" s="413"/>
      <c r="AA26" s="168">
        <f t="shared" si="3"/>
        <v>0</v>
      </c>
      <c r="AB26" s="422"/>
    </row>
    <row r="27" spans="2:28" ht="18.75" customHeight="1">
      <c r="B27" s="425"/>
      <c r="C27" s="428"/>
      <c r="D27" s="418"/>
      <c r="E27" s="418"/>
      <c r="F27" s="418"/>
      <c r="G27" s="421"/>
      <c r="I27" s="425"/>
      <c r="J27" s="428"/>
      <c r="K27" s="418"/>
      <c r="L27" s="418"/>
      <c r="M27" s="418"/>
      <c r="N27" s="421"/>
      <c r="P27" s="425"/>
      <c r="Q27" s="428"/>
      <c r="R27" s="418"/>
      <c r="S27" s="418"/>
      <c r="T27" s="418"/>
      <c r="U27" s="421"/>
      <c r="W27" s="169" t="s">
        <v>28</v>
      </c>
      <c r="X27" s="170">
        <f>COUNTIFS('1. All Data'!$AA$3:$AA$134,"Improving Local Democracy",'1. All Data'!$V$3:$V$134,"Completion Date Within Reasonable Tolerance")</f>
        <v>0</v>
      </c>
      <c r="Y27" s="168">
        <f>X27/$X$34</f>
        <v>0</v>
      </c>
      <c r="Z27" s="413"/>
      <c r="AA27" s="168">
        <f t="shared" si="3"/>
        <v>0</v>
      </c>
      <c r="AB27" s="422"/>
    </row>
    <row r="28" spans="2:28" ht="20.25" customHeight="1">
      <c r="B28" s="171" t="s">
        <v>33</v>
      </c>
      <c r="C28" s="167">
        <f>COUNTIFS('1. All Data'!$AA$3:$AA$134,"Improving Local Democracy",'1. All Data'!$H$3:$H$134,"Completed Behind Schedule")</f>
        <v>0</v>
      </c>
      <c r="D28" s="168">
        <f>C28/C34</f>
        <v>0</v>
      </c>
      <c r="E28" s="413">
        <f>D28+D29</f>
        <v>0</v>
      </c>
      <c r="F28" s="168">
        <f>C28/C35</f>
        <v>0</v>
      </c>
      <c r="G28" s="414">
        <f>F28+F29</f>
        <v>0</v>
      </c>
      <c r="I28" s="171" t="s">
        <v>33</v>
      </c>
      <c r="J28" s="167">
        <f>COUNTIFS('1. All Data'!$AA$3:$AA$134,"Improving Local Democracy",'1. All Data'!$M$3:$M$134,"Completed Behind Schedule")</f>
        <v>0</v>
      </c>
      <c r="K28" s="168">
        <f>J28/J34</f>
        <v>0</v>
      </c>
      <c r="L28" s="413">
        <f>K28+K29</f>
        <v>0</v>
      </c>
      <c r="M28" s="168">
        <f>J28/J35</f>
        <v>0</v>
      </c>
      <c r="N28" s="414">
        <f>M28+M29</f>
        <v>0</v>
      </c>
      <c r="P28" s="171" t="s">
        <v>33</v>
      </c>
      <c r="Q28" s="167">
        <f>COUNTIFS('1. All Data'!$AA$3:$AA$134,"Improving Local Democracy",'1. All Data'!$R$3:$R$134,"Completed Behind Schedule")</f>
        <v>0</v>
      </c>
      <c r="R28" s="168">
        <f>Q28/Q34</f>
        <v>0</v>
      </c>
      <c r="S28" s="413">
        <f>R28+R29</f>
        <v>0</v>
      </c>
      <c r="T28" s="168">
        <f>Q28/Q35</f>
        <v>0</v>
      </c>
      <c r="U28" s="414">
        <f>T28+T29</f>
        <v>0</v>
      </c>
      <c r="W28" s="171" t="s">
        <v>27</v>
      </c>
      <c r="X28" s="167">
        <f>COUNTIFS('1. All Data'!$AA$3:$AA$134,"Improving Local Democracy",'1. All Data'!$V$3:$V$134,"Completed Significantly After Target Deadline")</f>
        <v>0</v>
      </c>
      <c r="Y28" s="168">
        <f>X28/$X$34</f>
        <v>0</v>
      </c>
      <c r="Z28" s="413">
        <f>SUM(Y28:Y29)</f>
        <v>0</v>
      </c>
      <c r="AA28" s="168">
        <f t="shared" si="3"/>
        <v>0</v>
      </c>
      <c r="AB28" s="414">
        <f>AA28+AA29</f>
        <v>0</v>
      </c>
    </row>
    <row r="29" spans="2:28" ht="20.25" customHeight="1">
      <c r="B29" s="171" t="s">
        <v>26</v>
      </c>
      <c r="C29" s="167">
        <f>COUNTIFS('1. All Data'!$AA$3:$AA$134,"Improving Local Democracy",'1. All Data'!$H$3:$H$134,"Off Target")</f>
        <v>0</v>
      </c>
      <c r="D29" s="168">
        <f>C29/C34</f>
        <v>0</v>
      </c>
      <c r="E29" s="413"/>
      <c r="F29" s="168">
        <f>C29/C35</f>
        <v>0</v>
      </c>
      <c r="G29" s="414"/>
      <c r="I29" s="171" t="s">
        <v>26</v>
      </c>
      <c r="J29" s="167">
        <f>COUNTIFS('1. All Data'!$AA$3:$AA$134,"Improving Local Democracy",'1. All Data'!$M$3:$M$134,"Off Target")</f>
        <v>0</v>
      </c>
      <c r="K29" s="168">
        <f>J29/J34</f>
        <v>0</v>
      </c>
      <c r="L29" s="413"/>
      <c r="M29" s="168">
        <f>J29/J35</f>
        <v>0</v>
      </c>
      <c r="N29" s="414"/>
      <c r="P29" s="171" t="s">
        <v>26</v>
      </c>
      <c r="Q29" s="167">
        <f>COUNTIFS('1. All Data'!$AA$3:$AA$134,"Improving Local Democracy",'1. All Data'!$R$3:$R$134,"Off Target")</f>
        <v>0</v>
      </c>
      <c r="R29" s="168">
        <f>Q29/Q34</f>
        <v>0</v>
      </c>
      <c r="S29" s="413"/>
      <c r="T29" s="168">
        <f>Q29/Q35</f>
        <v>0</v>
      </c>
      <c r="U29" s="414"/>
      <c r="W29" s="171" t="s">
        <v>26</v>
      </c>
      <c r="X29" s="167">
        <f>COUNTIFS('1. All Data'!$AA$3:$AA$134,"Improving Local Democracy",'1. All Data'!$V$3:$V$134,"Off Target")</f>
        <v>0</v>
      </c>
      <c r="Y29" s="168">
        <f>X29/$X$34</f>
        <v>0</v>
      </c>
      <c r="Z29" s="413"/>
      <c r="AA29" s="168">
        <f t="shared" si="3"/>
        <v>0</v>
      </c>
      <c r="AB29" s="414"/>
    </row>
    <row r="30" spans="2:28" ht="15" customHeight="1">
      <c r="B30" s="172" t="s">
        <v>49</v>
      </c>
      <c r="C30" s="167">
        <f>COUNTIFS('1. All Data'!$AA$3:$AA$134,"Improving Local Democracy",'1. All Data'!$H$3:$H$134,"Not yet due")</f>
        <v>3</v>
      </c>
      <c r="D30" s="173">
        <f>C30/C34</f>
        <v>0.5</v>
      </c>
      <c r="E30" s="173">
        <f>D30</f>
        <v>0.5</v>
      </c>
      <c r="F30" s="174"/>
      <c r="G30" s="58"/>
      <c r="I30" s="172" t="s">
        <v>49</v>
      </c>
      <c r="J30" s="167">
        <f>COUNTIFS('1. All Data'!$AA$3:$AA$134,"Improving Local Democracy",'1. All Data'!$M$3:$M$134,"Not yet due")</f>
        <v>0</v>
      </c>
      <c r="K30" s="173">
        <f>J30/J34</f>
        <v>0</v>
      </c>
      <c r="L30" s="173">
        <f>K30</f>
        <v>0</v>
      </c>
      <c r="M30" s="174"/>
      <c r="N30" s="58"/>
      <c r="P30" s="172" t="s">
        <v>49</v>
      </c>
      <c r="Q30" s="167">
        <f>COUNTIFS('1. All Data'!$AA$3:$AA$134,"Improving Local Democracy",'1. All Data'!$R$3:$R$134,"Not yet due")</f>
        <v>0</v>
      </c>
      <c r="R30" s="173">
        <f>Q30/Q34</f>
        <v>0</v>
      </c>
      <c r="S30" s="173">
        <f>R30</f>
        <v>0</v>
      </c>
      <c r="T30" s="174"/>
      <c r="U30" s="58"/>
      <c r="W30" s="172" t="s">
        <v>49</v>
      </c>
      <c r="X30" s="167">
        <f>COUNTIFS('1. All Data'!$AA$3:$AA$134,"Improving Local Democracy",'1. All Data'!$V$3:$V$134,"Not yet due")</f>
        <v>0</v>
      </c>
      <c r="Y30" s="168">
        <f t="shared" ref="Y30:Y33" si="4">X30/$X$34</f>
        <v>0</v>
      </c>
      <c r="Z30" s="168">
        <f>Y30</f>
        <v>0</v>
      </c>
      <c r="AA30" s="174"/>
      <c r="AB30" s="58"/>
    </row>
    <row r="31" spans="2:28" ht="15" customHeight="1">
      <c r="B31" s="172" t="s">
        <v>21</v>
      </c>
      <c r="C31" s="167">
        <f>COUNTIFS('1. All Data'!$AA$3:$AA$134,"Improving Local Democracy",'1. All Data'!$H$3:$H$134,"update not provided")</f>
        <v>0</v>
      </c>
      <c r="D31" s="173">
        <f>C31/C34</f>
        <v>0</v>
      </c>
      <c r="E31" s="173">
        <f>D31</f>
        <v>0</v>
      </c>
      <c r="F31" s="174"/>
      <c r="G31" s="2"/>
      <c r="I31" s="172" t="s">
        <v>21</v>
      </c>
      <c r="J31" s="167">
        <f>COUNTIFS('1. All Data'!$AA$3:$AA$134,"Improving Local Democracy",'1. All Data'!$M$3:$M$134,"update not provided")</f>
        <v>0</v>
      </c>
      <c r="K31" s="173">
        <f>J31/J34</f>
        <v>0</v>
      </c>
      <c r="L31" s="173">
        <f>K31</f>
        <v>0</v>
      </c>
      <c r="M31" s="174"/>
      <c r="N31" s="2"/>
      <c r="P31" s="172" t="s">
        <v>21</v>
      </c>
      <c r="Q31" s="167">
        <f>COUNTIFS('1. All Data'!$AA$3:$AA$134,"Improving Local Democracy",'1. All Data'!$R$3:$R$134,"update not provided")</f>
        <v>0</v>
      </c>
      <c r="R31" s="173">
        <f>Q31/Q34</f>
        <v>0</v>
      </c>
      <c r="S31" s="173">
        <f>R31</f>
        <v>0</v>
      </c>
      <c r="T31" s="174"/>
      <c r="U31" s="2"/>
      <c r="W31" s="172" t="s">
        <v>21</v>
      </c>
      <c r="X31" s="167">
        <f>COUNTIFS('1. All Data'!$AA$3:$AA$134,"Improving Local Democracy",'1. All Data'!$V$3:$V$134,"update not provided")</f>
        <v>0</v>
      </c>
      <c r="Y31" s="168">
        <f t="shared" si="4"/>
        <v>0</v>
      </c>
      <c r="Z31" s="168">
        <f t="shared" ref="Z31:Z33" si="5">Y31</f>
        <v>0</v>
      </c>
      <c r="AA31" s="174"/>
      <c r="AB31" s="2"/>
    </row>
    <row r="32" spans="2:28" ht="15.75" customHeight="1">
      <c r="B32" s="175" t="s">
        <v>29</v>
      </c>
      <c r="C32" s="167">
        <f>COUNTIFS('1. All Data'!$AA$3:$AA$134,"Improving Local Democracy",'1. All Data'!$H$3:$H$134,"Deferred")</f>
        <v>0</v>
      </c>
      <c r="D32" s="176">
        <f>C32/C34</f>
        <v>0</v>
      </c>
      <c r="E32" s="176">
        <f>D32</f>
        <v>0</v>
      </c>
      <c r="F32" s="177"/>
      <c r="G32" s="58"/>
      <c r="I32" s="175" t="s">
        <v>29</v>
      </c>
      <c r="J32" s="167">
        <f>COUNTIFS('1. All Data'!$AA$3:$AA$134,"Improving Local Democracy",'1. All Data'!$M$3:$M$134,"Deferred")</f>
        <v>0</v>
      </c>
      <c r="K32" s="176">
        <f>J32/J34</f>
        <v>0</v>
      </c>
      <c r="L32" s="176">
        <f>K32</f>
        <v>0</v>
      </c>
      <c r="M32" s="177"/>
      <c r="N32" s="58"/>
      <c r="P32" s="175" t="s">
        <v>29</v>
      </c>
      <c r="Q32" s="167">
        <f>COUNTIFS('1. All Data'!$AA$3:$AA$134,"Improving Local Democracy",'1. All Data'!$R$3:$R$134,"Deferred")</f>
        <v>0</v>
      </c>
      <c r="R32" s="176">
        <f>Q32/Q34</f>
        <v>0</v>
      </c>
      <c r="S32" s="176">
        <f>R32</f>
        <v>0</v>
      </c>
      <c r="T32" s="177"/>
      <c r="U32" s="58"/>
      <c r="W32" s="175" t="s">
        <v>29</v>
      </c>
      <c r="X32" s="167">
        <f>COUNTIFS('1. All Data'!$AA$3:$AA$134,"Improving Local Democracy8 council",'1. All Data'!$V$3:$V$134,"Deferred")</f>
        <v>0</v>
      </c>
      <c r="Y32" s="168">
        <f t="shared" si="4"/>
        <v>0</v>
      </c>
      <c r="Z32" s="168">
        <f t="shared" si="5"/>
        <v>0</v>
      </c>
      <c r="AA32" s="177"/>
      <c r="AB32" s="58"/>
    </row>
    <row r="33" spans="2:30" ht="15.75" customHeight="1">
      <c r="B33" s="175" t="s">
        <v>30</v>
      </c>
      <c r="C33" s="167">
        <f>COUNTIFS('1. All Data'!$AA$3:$AA$134,"Improving Local Democracy",'1. All Data'!$H$3:$H$134,"Deleted")</f>
        <v>0</v>
      </c>
      <c r="D33" s="176">
        <f>C33/C34</f>
        <v>0</v>
      </c>
      <c r="E33" s="176">
        <f>D33</f>
        <v>0</v>
      </c>
      <c r="F33" s="177"/>
      <c r="G33" s="3"/>
      <c r="I33" s="175" t="s">
        <v>30</v>
      </c>
      <c r="J33" s="167">
        <f>COUNTIFS('1. All Data'!$AA$3:$AA$134,"Improving Local Democracy",'1. All Data'!$M$3:$M$134,"Deleted")</f>
        <v>0</v>
      </c>
      <c r="K33" s="176">
        <f>J33/J34</f>
        <v>0</v>
      </c>
      <c r="L33" s="176">
        <f>K33</f>
        <v>0</v>
      </c>
      <c r="M33" s="177"/>
      <c r="N33" s="3"/>
      <c r="P33" s="175" t="s">
        <v>30</v>
      </c>
      <c r="Q33" s="167">
        <f>COUNTIFS('1. All Data'!$AA$3:$AA$134,"Improving Local Democracy",'1. All Data'!$R$3:$R$134,"Deleted")</f>
        <v>0</v>
      </c>
      <c r="R33" s="176">
        <f>Q33/Q34</f>
        <v>0</v>
      </c>
      <c r="S33" s="176">
        <f>R33</f>
        <v>0</v>
      </c>
      <c r="T33" s="177"/>
      <c r="U33" s="3"/>
      <c r="W33" s="175" t="s">
        <v>30</v>
      </c>
      <c r="X33" s="167">
        <f>COUNTIFS('1. All Data'!$AA$3:$AA$134,"Improving Local Democracy",'1. All Data'!$V$3:$V$134,"Deleted")</f>
        <v>0</v>
      </c>
      <c r="Y33" s="168">
        <f t="shared" si="4"/>
        <v>0</v>
      </c>
      <c r="Z33" s="168">
        <f t="shared" si="5"/>
        <v>0</v>
      </c>
      <c r="AA33" s="177"/>
      <c r="AD33" s="3"/>
    </row>
    <row r="34" spans="2:30" ht="15.75" customHeight="1">
      <c r="B34" s="178" t="s">
        <v>51</v>
      </c>
      <c r="C34" s="179">
        <f>SUM(C23:C33)</f>
        <v>6</v>
      </c>
      <c r="D34" s="177"/>
      <c r="E34" s="177"/>
      <c r="F34" s="58"/>
      <c r="G34" s="58"/>
      <c r="I34" s="178" t="s">
        <v>51</v>
      </c>
      <c r="J34" s="179">
        <f>SUM(J23:J33)</f>
        <v>6</v>
      </c>
      <c r="K34" s="177"/>
      <c r="L34" s="177"/>
      <c r="M34" s="58"/>
      <c r="N34" s="58"/>
      <c r="P34" s="178" t="s">
        <v>51</v>
      </c>
      <c r="Q34" s="179">
        <f>SUM(Q23:Q33)</f>
        <v>6</v>
      </c>
      <c r="R34" s="177"/>
      <c r="S34" s="177"/>
      <c r="T34" s="58"/>
      <c r="U34" s="58"/>
      <c r="W34" s="178" t="s">
        <v>51</v>
      </c>
      <c r="X34" s="179">
        <f>SUM(X23:X33)</f>
        <v>6</v>
      </c>
      <c r="Y34" s="177"/>
      <c r="Z34" s="177"/>
      <c r="AA34" s="58"/>
      <c r="AB34" s="58"/>
    </row>
    <row r="35" spans="2:30" ht="15.75" customHeight="1">
      <c r="B35" s="178" t="s">
        <v>52</v>
      </c>
      <c r="C35" s="179">
        <f>C34-C33-C32-C31-C30</f>
        <v>3</v>
      </c>
      <c r="D35" s="58"/>
      <c r="E35" s="58"/>
      <c r="F35" s="58"/>
      <c r="G35" s="58"/>
      <c r="I35" s="178" t="s">
        <v>52</v>
      </c>
      <c r="J35" s="179">
        <f>J34-J33-J32-J31-J30</f>
        <v>6</v>
      </c>
      <c r="K35" s="58"/>
      <c r="L35" s="58"/>
      <c r="M35" s="58"/>
      <c r="N35" s="58"/>
      <c r="P35" s="178" t="s">
        <v>52</v>
      </c>
      <c r="Q35" s="179">
        <f>Q34-Q33-Q32-Q31-Q30</f>
        <v>6</v>
      </c>
      <c r="R35" s="58"/>
      <c r="S35" s="58"/>
      <c r="T35" s="58"/>
      <c r="U35" s="58"/>
      <c r="W35" s="178" t="s">
        <v>52</v>
      </c>
      <c r="X35" s="179">
        <f>X34-X33-X32-X31-X30</f>
        <v>6</v>
      </c>
      <c r="Y35" s="58"/>
      <c r="Z35" s="58"/>
      <c r="AA35" s="58"/>
      <c r="AB35" s="58"/>
    </row>
    <row r="36" spans="2:30" ht="15.75" hidden="1" customHeight="1">
      <c r="W36" s="185"/>
      <c r="X36" s="165"/>
      <c r="Y36" s="165"/>
      <c r="Z36" s="165"/>
      <c r="AA36" s="58"/>
      <c r="AB36" s="186"/>
    </row>
    <row r="37" spans="2:30" ht="15.75" hidden="1" customHeight="1"/>
    <row r="38" spans="2:30" s="166" customFormat="1" ht="15.75" customHeight="1">
      <c r="B38" s="187"/>
      <c r="C38" s="165"/>
      <c r="D38" s="165"/>
      <c r="E38" s="165"/>
      <c r="F38" s="58"/>
      <c r="G38" s="165"/>
      <c r="H38" s="165"/>
      <c r="I38" s="187"/>
      <c r="J38" s="165"/>
      <c r="K38" s="165"/>
      <c r="L38" s="165"/>
      <c r="M38" s="58"/>
      <c r="N38" s="165"/>
      <c r="O38" s="165"/>
      <c r="P38" s="187"/>
      <c r="Q38" s="165"/>
      <c r="R38" s="165"/>
      <c r="S38" s="165"/>
      <c r="T38" s="58"/>
      <c r="U38" s="165"/>
      <c r="V38" s="165"/>
      <c r="W38" s="165"/>
      <c r="X38" s="165"/>
      <c r="Y38" s="165"/>
      <c r="Z38" s="165"/>
      <c r="AA38" s="165"/>
      <c r="AB38" s="186"/>
    </row>
    <row r="39" spans="2:30" ht="15.75" customHeight="1">
      <c r="B39" s="188" t="s">
        <v>404</v>
      </c>
      <c r="C39" s="189"/>
      <c r="D39" s="189"/>
      <c r="E39" s="189"/>
      <c r="F39" s="190"/>
      <c r="G39" s="191"/>
      <c r="I39" s="188" t="s">
        <v>404</v>
      </c>
      <c r="J39" s="189"/>
      <c r="K39" s="189"/>
      <c r="L39" s="189"/>
      <c r="M39" s="190"/>
      <c r="N39" s="191"/>
      <c r="P39" s="188" t="s">
        <v>404</v>
      </c>
      <c r="Q39" s="189"/>
      <c r="R39" s="189"/>
      <c r="S39" s="189"/>
      <c r="T39" s="190"/>
      <c r="U39" s="191"/>
      <c r="W39" s="188" t="s">
        <v>404</v>
      </c>
      <c r="X39" s="162"/>
      <c r="Y39" s="162"/>
      <c r="Z39" s="162"/>
      <c r="AA39" s="162"/>
      <c r="AB39" s="163"/>
    </row>
    <row r="40" spans="2:30" ht="36" customHeight="1">
      <c r="B40" s="164" t="s">
        <v>42</v>
      </c>
      <c r="C40" s="164" t="s">
        <v>43</v>
      </c>
      <c r="D40" s="164" t="s">
        <v>44</v>
      </c>
      <c r="E40" s="164" t="s">
        <v>45</v>
      </c>
      <c r="F40" s="164" t="s">
        <v>46</v>
      </c>
      <c r="G40" s="164" t="s">
        <v>47</v>
      </c>
      <c r="I40" s="164" t="s">
        <v>42</v>
      </c>
      <c r="J40" s="164" t="s">
        <v>43</v>
      </c>
      <c r="K40" s="164" t="s">
        <v>44</v>
      </c>
      <c r="L40" s="164" t="s">
        <v>45</v>
      </c>
      <c r="M40" s="164" t="s">
        <v>46</v>
      </c>
      <c r="N40" s="164" t="s">
        <v>47</v>
      </c>
      <c r="P40" s="164" t="s">
        <v>42</v>
      </c>
      <c r="Q40" s="164" t="s">
        <v>43</v>
      </c>
      <c r="R40" s="164" t="s">
        <v>44</v>
      </c>
      <c r="S40" s="164" t="s">
        <v>45</v>
      </c>
      <c r="T40" s="164" t="s">
        <v>46</v>
      </c>
      <c r="U40" s="164" t="s">
        <v>47</v>
      </c>
      <c r="W40" s="164" t="s">
        <v>42</v>
      </c>
      <c r="X40" s="164" t="s">
        <v>43</v>
      </c>
      <c r="Y40" s="164" t="s">
        <v>44</v>
      </c>
      <c r="Z40" s="164" t="s">
        <v>45</v>
      </c>
      <c r="AA40" s="164" t="s">
        <v>46</v>
      </c>
      <c r="AB40" s="164" t="s">
        <v>47</v>
      </c>
    </row>
    <row r="41" spans="2:30" ht="18.75" customHeight="1">
      <c r="B41" s="227" t="s">
        <v>48</v>
      </c>
      <c r="C41" s="167">
        <f>COUNTIFS('1. All Data'!$AA$3:$AA$134,"Creating a prosperous East Staffordshire",'1. All Data'!$H$3:$H$134,"Fully Achieved")</f>
        <v>0</v>
      </c>
      <c r="D41" s="168">
        <f>C41/C52</f>
        <v>0</v>
      </c>
      <c r="E41" s="413">
        <f>D41+D42</f>
        <v>0.63636363636363635</v>
      </c>
      <c r="F41" s="168">
        <f>C41/C53</f>
        <v>0</v>
      </c>
      <c r="G41" s="415">
        <f>F41+F42</f>
        <v>1</v>
      </c>
      <c r="I41" s="227" t="s">
        <v>48</v>
      </c>
      <c r="J41" s="167">
        <f>COUNTIFS('1. All Data'!$AA$3:$AA$134,"Creating a prosperous East Staffordshire",'1. All Data'!$M$3:$M$134,"Fully Achieved")</f>
        <v>4</v>
      </c>
      <c r="K41" s="168">
        <f>J41/J52</f>
        <v>0.36363636363636365</v>
      </c>
      <c r="L41" s="413">
        <f>K41+K42</f>
        <v>0.90909090909090906</v>
      </c>
      <c r="M41" s="168">
        <f>J41/J53</f>
        <v>0.4</v>
      </c>
      <c r="N41" s="415">
        <f>M41+M42</f>
        <v>1</v>
      </c>
      <c r="P41" s="227" t="s">
        <v>48</v>
      </c>
      <c r="Q41" s="167">
        <f>COUNTIFS('1. All Data'!$AA$3:$AA$134,"Creating a prosperous East Staffordshire",'1. All Data'!$R$3:$R$134,"Fully Achieved")</f>
        <v>10</v>
      </c>
      <c r="R41" s="168">
        <f>Q41/Q52</f>
        <v>0.90909090909090906</v>
      </c>
      <c r="S41" s="413">
        <f>R41+R42</f>
        <v>0.90909090909090906</v>
      </c>
      <c r="T41" s="168">
        <f>Q41/Q53</f>
        <v>1</v>
      </c>
      <c r="U41" s="415">
        <f>T41+T42</f>
        <v>1</v>
      </c>
      <c r="W41" s="227" t="s">
        <v>48</v>
      </c>
      <c r="X41" s="167">
        <f>COUNTIFS('1. All Data'!$AA$3:$AA$134,"Creating a prosperous East Staffordshire",'1. All Data'!$V$3:$V$134,"Fully Achieved")</f>
        <v>11</v>
      </c>
      <c r="Y41" s="168">
        <f>X41/X52</f>
        <v>1</v>
      </c>
      <c r="Z41" s="413">
        <f>Y41+Y42</f>
        <v>1</v>
      </c>
      <c r="AA41" s="168">
        <f>X41/X53</f>
        <v>1</v>
      </c>
      <c r="AB41" s="415">
        <f>AA41+AA42</f>
        <v>1</v>
      </c>
    </row>
    <row r="42" spans="2:30" ht="18.75" customHeight="1">
      <c r="B42" s="227" t="s">
        <v>31</v>
      </c>
      <c r="C42" s="167">
        <f>COUNTIFS('1. All Data'!$AA$3:$AA$134,"Creating a prosperous East Staffordshire",'1. All Data'!$H$3:$H$134,"On Track to be achieved")</f>
        <v>7</v>
      </c>
      <c r="D42" s="168">
        <f>C42/C52</f>
        <v>0.63636363636363635</v>
      </c>
      <c r="E42" s="413"/>
      <c r="F42" s="168">
        <f>C42/C53</f>
        <v>1</v>
      </c>
      <c r="G42" s="415"/>
      <c r="I42" s="227" t="s">
        <v>31</v>
      </c>
      <c r="J42" s="167">
        <f>COUNTIFS('1. All Data'!$AA$3:$AA$134,"Creating a prosperous East Staffordshire",'1. All Data'!$M$3:$M$134,"On Track to be achieved")</f>
        <v>6</v>
      </c>
      <c r="K42" s="168">
        <f>J42/J52</f>
        <v>0.54545454545454541</v>
      </c>
      <c r="L42" s="413"/>
      <c r="M42" s="168">
        <f>J42/J53</f>
        <v>0.6</v>
      </c>
      <c r="N42" s="415"/>
      <c r="P42" s="227" t="s">
        <v>31</v>
      </c>
      <c r="Q42" s="167">
        <f>COUNTIFS('1. All Data'!$AA$3:$AA$134,"Creating a prosperous East Staffordshire",'1. All Data'!$R$3:$R$134,"On Track to be achieved")</f>
        <v>0</v>
      </c>
      <c r="R42" s="168">
        <f>Q42/Q52</f>
        <v>0</v>
      </c>
      <c r="S42" s="413"/>
      <c r="T42" s="168">
        <f>Q42/Q53</f>
        <v>0</v>
      </c>
      <c r="U42" s="415"/>
      <c r="W42" s="227" t="s">
        <v>23</v>
      </c>
      <c r="X42" s="167">
        <f>COUNTIFS('1. All Data'!$AA$3:$AA$134,"Creating a prosperous East Staffordshire",'1. All Data'!$V$3:$V$134,"Numerical Outturn Within 5% Tolerance")</f>
        <v>0</v>
      </c>
      <c r="Y42" s="168">
        <f>X42/X52</f>
        <v>0</v>
      </c>
      <c r="Z42" s="413"/>
      <c r="AA42" s="168">
        <f>X42/X53</f>
        <v>0</v>
      </c>
      <c r="AB42" s="415"/>
    </row>
    <row r="43" spans="2:30" ht="19.5" customHeight="1">
      <c r="B43" s="423" t="s">
        <v>32</v>
      </c>
      <c r="C43" s="426">
        <f>COUNTIFS('1. All Data'!$AA$3:$AA$134,"Creating a prosperous East Staffordshire",'1. All Data'!$H$3:$H$134,"In Danger of Falling Behind Target")</f>
        <v>0</v>
      </c>
      <c r="D43" s="416">
        <f>C43/C52</f>
        <v>0</v>
      </c>
      <c r="E43" s="416">
        <f>D43</f>
        <v>0</v>
      </c>
      <c r="F43" s="416">
        <f>C43/C53</f>
        <v>0</v>
      </c>
      <c r="G43" s="419">
        <f>F43</f>
        <v>0</v>
      </c>
      <c r="I43" s="423" t="s">
        <v>32</v>
      </c>
      <c r="J43" s="426">
        <f>COUNTIFS('1. All Data'!$AA$3:$AA$134,"Creating a prosperous East Staffordshire",'1. All Data'!$M$3:$M$134,"In Danger of Falling Behind Target")</f>
        <v>0</v>
      </c>
      <c r="K43" s="416">
        <f>J43/J52</f>
        <v>0</v>
      </c>
      <c r="L43" s="416">
        <f>K43</f>
        <v>0</v>
      </c>
      <c r="M43" s="416">
        <f>J43/J53</f>
        <v>0</v>
      </c>
      <c r="N43" s="419">
        <f>M43</f>
        <v>0</v>
      </c>
      <c r="P43" s="423" t="s">
        <v>32</v>
      </c>
      <c r="Q43" s="426">
        <f>COUNTIFS('1. All Data'!$AA$3:$AA$134,"Creating a prosperous East Staffordshire",'1. All Data'!$R$3:$R$134,"In Danger of Falling Behind Target")</f>
        <v>0</v>
      </c>
      <c r="R43" s="416">
        <f>Q43/Q52</f>
        <v>0</v>
      </c>
      <c r="S43" s="416">
        <f>R43</f>
        <v>0</v>
      </c>
      <c r="T43" s="416">
        <f>Q43/Q53</f>
        <v>0</v>
      </c>
      <c r="U43" s="419">
        <f>T43</f>
        <v>0</v>
      </c>
      <c r="W43" s="169" t="s">
        <v>24</v>
      </c>
      <c r="X43" s="170">
        <f>COUNTIFS('1. All Data'!$AA$3:$AA$134,"Creating a prosperous East Staffordshire",'1. All Data'!$V$3:$V$134,"Numerical Outturn Within 10% Tolerance")</f>
        <v>0</v>
      </c>
      <c r="Y43" s="168">
        <f>X43/X52</f>
        <v>0</v>
      </c>
      <c r="Z43" s="413">
        <f>SUM(Y43:Y45)</f>
        <v>0</v>
      </c>
      <c r="AA43" s="168">
        <f>X43/X53</f>
        <v>0</v>
      </c>
      <c r="AB43" s="422">
        <f>SUM(AA43:AA45)</f>
        <v>0</v>
      </c>
    </row>
    <row r="44" spans="2:30" ht="19.5" customHeight="1">
      <c r="B44" s="424"/>
      <c r="C44" s="427"/>
      <c r="D44" s="417"/>
      <c r="E44" s="417"/>
      <c r="F44" s="417"/>
      <c r="G44" s="420"/>
      <c r="I44" s="424"/>
      <c r="J44" s="427"/>
      <c r="K44" s="417"/>
      <c r="L44" s="417"/>
      <c r="M44" s="417"/>
      <c r="N44" s="420"/>
      <c r="P44" s="424"/>
      <c r="Q44" s="427"/>
      <c r="R44" s="417"/>
      <c r="S44" s="417"/>
      <c r="T44" s="417"/>
      <c r="U44" s="420"/>
      <c r="W44" s="169" t="s">
        <v>25</v>
      </c>
      <c r="X44" s="170">
        <f>COUNTIFS('1. All Data'!$AA$3:$AA$134,"Creating a prosperous East Staffordshire",'1. All Data'!$V$3:$V$134,"Target Partially Met")</f>
        <v>0</v>
      </c>
      <c r="Y44" s="168">
        <f>X44/X52</f>
        <v>0</v>
      </c>
      <c r="Z44" s="413"/>
      <c r="AA44" s="168">
        <f>X44/X53</f>
        <v>0</v>
      </c>
      <c r="AB44" s="422"/>
    </row>
    <row r="45" spans="2:30" ht="19.5" customHeight="1">
      <c r="B45" s="425"/>
      <c r="C45" s="428"/>
      <c r="D45" s="418"/>
      <c r="E45" s="418"/>
      <c r="F45" s="418"/>
      <c r="G45" s="421"/>
      <c r="I45" s="425"/>
      <c r="J45" s="428"/>
      <c r="K45" s="418"/>
      <c r="L45" s="418"/>
      <c r="M45" s="418"/>
      <c r="N45" s="421"/>
      <c r="P45" s="425"/>
      <c r="Q45" s="428"/>
      <c r="R45" s="418"/>
      <c r="S45" s="418"/>
      <c r="T45" s="418"/>
      <c r="U45" s="421"/>
      <c r="W45" s="169" t="s">
        <v>28</v>
      </c>
      <c r="X45" s="170">
        <f>COUNTIFS('1. All Data'!$AA$3:$AA$134,"Creating a prosperous East Staffordshire",'1. All Data'!$V$3:$V$134,"Completion Date Within Reasonable Tolerance")</f>
        <v>0</v>
      </c>
      <c r="Y45" s="168">
        <f>X45/X52</f>
        <v>0</v>
      </c>
      <c r="Z45" s="413"/>
      <c r="AA45" s="168">
        <f>X45/X53</f>
        <v>0</v>
      </c>
      <c r="AB45" s="422"/>
    </row>
    <row r="46" spans="2:30" ht="22.5" customHeight="1">
      <c r="B46" s="171" t="s">
        <v>33</v>
      </c>
      <c r="C46" s="167">
        <f>COUNTIFS('1. All Data'!$AA$3:$AA$134,"Creating a prosperous East Staffordshire",'1. All Data'!$H$3:$H$134,"Completed Behind Schedule")</f>
        <v>0</v>
      </c>
      <c r="D46" s="168">
        <f>C46/C52</f>
        <v>0</v>
      </c>
      <c r="E46" s="413">
        <f>D46+D47</f>
        <v>0</v>
      </c>
      <c r="F46" s="168">
        <f>C46/C53</f>
        <v>0</v>
      </c>
      <c r="G46" s="414">
        <f>F46+F47</f>
        <v>0</v>
      </c>
      <c r="I46" s="171" t="s">
        <v>33</v>
      </c>
      <c r="J46" s="167">
        <f>COUNTIFS('1. All Data'!$AA$3:$AA$134,"Creating a prosperous East Staffordshire",'1. All Data'!$M$3:$M$134,"Completed Behind Schedule")</f>
        <v>0</v>
      </c>
      <c r="K46" s="168">
        <f>J46/J52</f>
        <v>0</v>
      </c>
      <c r="L46" s="413">
        <f>K46+K47</f>
        <v>0</v>
      </c>
      <c r="M46" s="168">
        <f>J46/J53</f>
        <v>0</v>
      </c>
      <c r="N46" s="414">
        <f>M46+M47</f>
        <v>0</v>
      </c>
      <c r="P46" s="171" t="s">
        <v>33</v>
      </c>
      <c r="Q46" s="167">
        <f>COUNTIFS('1. All Data'!$AA$3:$AA$134,"Creating a prosperous East Staffordshire",'1. All Data'!$R$3:$R$134,"Completed Behind Schedule")</f>
        <v>0</v>
      </c>
      <c r="R46" s="168">
        <f>Q46/Q52</f>
        <v>0</v>
      </c>
      <c r="S46" s="413">
        <f>R46+R47</f>
        <v>0</v>
      </c>
      <c r="T46" s="168">
        <f>Q46/Q53</f>
        <v>0</v>
      </c>
      <c r="U46" s="414">
        <f>T46+T47</f>
        <v>0</v>
      </c>
      <c r="W46" s="171" t="s">
        <v>27</v>
      </c>
      <c r="X46" s="167">
        <f>COUNTIFS('1. All Data'!$AA$3:$AA$134,"Creating a prosperous East Staffordshire",'1. All Data'!$V$3:$V$134,"Completed Significantly After Target Deadline")</f>
        <v>0</v>
      </c>
      <c r="Y46" s="168">
        <f>X46/X52</f>
        <v>0</v>
      </c>
      <c r="Z46" s="413">
        <f>SUM(Y46:Y47)</f>
        <v>0</v>
      </c>
      <c r="AA46" s="168">
        <f>X46/X53</f>
        <v>0</v>
      </c>
      <c r="AB46" s="414">
        <f>AA46+AA47</f>
        <v>0</v>
      </c>
    </row>
    <row r="47" spans="2:30" ht="22.5" customHeight="1">
      <c r="B47" s="171" t="s">
        <v>26</v>
      </c>
      <c r="C47" s="167">
        <f>COUNTIFS('1. All Data'!$AA$3:$AA$134,"Creating a prosperous East Staffordshire",'1. All Data'!$H$3:$H$134,"Off Target")</f>
        <v>0</v>
      </c>
      <c r="D47" s="168">
        <f>C47/C52</f>
        <v>0</v>
      </c>
      <c r="E47" s="413"/>
      <c r="F47" s="168">
        <f>C47/C53</f>
        <v>0</v>
      </c>
      <c r="G47" s="414"/>
      <c r="I47" s="171" t="s">
        <v>26</v>
      </c>
      <c r="J47" s="167">
        <f>COUNTIFS('1. All Data'!$AA$3:$AA$134,"Creating a prosperous East Staffordshire",'1. All Data'!$M$3:$M$134,"Off Target")</f>
        <v>0</v>
      </c>
      <c r="K47" s="168">
        <f>J47/J52</f>
        <v>0</v>
      </c>
      <c r="L47" s="413"/>
      <c r="M47" s="168">
        <f>J47/J53</f>
        <v>0</v>
      </c>
      <c r="N47" s="414"/>
      <c r="P47" s="171" t="s">
        <v>26</v>
      </c>
      <c r="Q47" s="167">
        <f>COUNTIFS('1. All Data'!$AA$3:$AA$134,"Creating a prosperous East Staffordshire",'1. All Data'!$R$3:$R$134,"Off Target")</f>
        <v>0</v>
      </c>
      <c r="R47" s="168">
        <f>Q47/Q52</f>
        <v>0</v>
      </c>
      <c r="S47" s="413"/>
      <c r="T47" s="168">
        <f>Q47/Q53</f>
        <v>0</v>
      </c>
      <c r="U47" s="414"/>
      <c r="W47" s="171" t="s">
        <v>26</v>
      </c>
      <c r="X47" s="167">
        <f>COUNTIFS('1. All Data'!$AA$3:$AA$134,"Creating a prosperous East Staffordshire",'1. All Data'!$V$3:$V$134,"Off Target")</f>
        <v>0</v>
      </c>
      <c r="Y47" s="168">
        <f>X47/X52</f>
        <v>0</v>
      </c>
      <c r="Z47" s="413"/>
      <c r="AA47" s="168">
        <f>X47/X53</f>
        <v>0</v>
      </c>
      <c r="AB47" s="414"/>
    </row>
    <row r="48" spans="2:30" ht="15.75" customHeight="1">
      <c r="B48" s="172" t="s">
        <v>49</v>
      </c>
      <c r="C48" s="167">
        <f>COUNTIFS('1. All Data'!$AA$3:$AA$134,"Creating a prosperous East Staffordshire",'1. All Data'!$H$3:$H$134,"Not yet due")</f>
        <v>4</v>
      </c>
      <c r="D48" s="173">
        <f>C48/C52</f>
        <v>0.36363636363636365</v>
      </c>
      <c r="E48" s="173">
        <f>D48</f>
        <v>0.36363636363636365</v>
      </c>
      <c r="F48" s="174"/>
      <c r="G48" s="58"/>
      <c r="I48" s="172" t="s">
        <v>49</v>
      </c>
      <c r="J48" s="167">
        <f>COUNTIFS('1. All Data'!$AA$3:$AA$134,"Creating a prosperous East Staffordshire",'1. All Data'!$M$3:$M$134,"Not yet due")</f>
        <v>1</v>
      </c>
      <c r="K48" s="173">
        <f>J48/J52</f>
        <v>9.0909090909090912E-2</v>
      </c>
      <c r="L48" s="173">
        <f>K48</f>
        <v>9.0909090909090912E-2</v>
      </c>
      <c r="M48" s="174"/>
      <c r="N48" s="58"/>
      <c r="P48" s="172" t="s">
        <v>49</v>
      </c>
      <c r="Q48" s="167">
        <f>COUNTIFS('1. All Data'!$AA$3:$AA$134,"Creating a prosperous East Staffordshire",'1. All Data'!$R$3:$R$134,"Not yet due")</f>
        <v>1</v>
      </c>
      <c r="R48" s="173">
        <f>Q48/Q52</f>
        <v>9.0909090909090912E-2</v>
      </c>
      <c r="S48" s="173">
        <f>R48</f>
        <v>9.0909090909090912E-2</v>
      </c>
      <c r="T48" s="174"/>
      <c r="U48" s="58"/>
      <c r="W48" s="172" t="s">
        <v>49</v>
      </c>
      <c r="X48" s="167">
        <f>COUNTIFS('1. All Data'!$AA$3:$AA$134,"Creating a prosperous East Staffordshire",'1. All Data'!$V$3:$V$134,"Not yet due")</f>
        <v>0</v>
      </c>
      <c r="Y48" s="168">
        <f>X48/X52</f>
        <v>0</v>
      </c>
      <c r="Z48" s="168">
        <f>Y48</f>
        <v>0</v>
      </c>
      <c r="AA48" s="174"/>
      <c r="AB48" s="58"/>
    </row>
    <row r="49" spans="2:30" ht="15.75" customHeight="1">
      <c r="B49" s="172" t="s">
        <v>21</v>
      </c>
      <c r="C49" s="167">
        <f>COUNTIFS('1. All Data'!$AA$3:$AA$134,"Creating a prosperous East Staffordshire",'1. All Data'!$H$3:$H$134,"update not provided")</f>
        <v>0</v>
      </c>
      <c r="D49" s="173">
        <f>C49/C52</f>
        <v>0</v>
      </c>
      <c r="E49" s="173">
        <f>D49</f>
        <v>0</v>
      </c>
      <c r="F49" s="174"/>
      <c r="G49" s="2"/>
      <c r="I49" s="172" t="s">
        <v>21</v>
      </c>
      <c r="J49" s="167">
        <f>COUNTIFS('1. All Data'!$AA$3:$AA$134,"Creating a prosperous East Staffordshire",'1. All Data'!$M$3:$M$134,"update not provided")</f>
        <v>0</v>
      </c>
      <c r="K49" s="173">
        <f>J49/J52</f>
        <v>0</v>
      </c>
      <c r="L49" s="173">
        <f>K49</f>
        <v>0</v>
      </c>
      <c r="M49" s="174"/>
      <c r="N49" s="2"/>
      <c r="P49" s="172" t="s">
        <v>21</v>
      </c>
      <c r="Q49" s="167">
        <f>COUNTIFS('1. All Data'!$AA$3:$AA$134,"Creating a prosperous East Staffordshire",'1. All Data'!$R$3:$R$134,"update not provided")</f>
        <v>0</v>
      </c>
      <c r="R49" s="173">
        <f>Q49/Q52</f>
        <v>0</v>
      </c>
      <c r="S49" s="173">
        <f>R49</f>
        <v>0</v>
      </c>
      <c r="T49" s="174"/>
      <c r="U49" s="2"/>
      <c r="W49" s="172" t="s">
        <v>21</v>
      </c>
      <c r="X49" s="167">
        <f>COUNTIFS('1. All Data'!$AA$3:$AA$134,"Creating a prosperous East Staffordshire",'1. All Data'!$V$3:$V$134,"update not provided")</f>
        <v>0</v>
      </c>
      <c r="Y49" s="168">
        <f>X49/X52</f>
        <v>0</v>
      </c>
      <c r="Z49" s="168">
        <f t="shared" ref="Z49:Z51" si="6">Y49</f>
        <v>0</v>
      </c>
      <c r="AA49" s="174"/>
      <c r="AB49" s="2"/>
    </row>
    <row r="50" spans="2:30" ht="15.75" customHeight="1">
      <c r="B50" s="175" t="s">
        <v>29</v>
      </c>
      <c r="C50" s="167">
        <f>COUNTIFS('1. All Data'!$AA$3:$AA$134,"Creating a prosperous East Staffordshire",'1. All Data'!$H$3:$H$134,"Deferred")</f>
        <v>0</v>
      </c>
      <c r="D50" s="176">
        <f>C50/C52</f>
        <v>0</v>
      </c>
      <c r="E50" s="176">
        <f>D50</f>
        <v>0</v>
      </c>
      <c r="F50" s="177"/>
      <c r="G50" s="58"/>
      <c r="I50" s="175" t="s">
        <v>29</v>
      </c>
      <c r="J50" s="167">
        <f>COUNTIFS('1. All Data'!$AA$3:$AA$134,"Creating a prosperous East Staffordshire",'1. All Data'!$M$3:$M$134,"Deferred")</f>
        <v>0</v>
      </c>
      <c r="K50" s="176">
        <f>J50/J52</f>
        <v>0</v>
      </c>
      <c r="L50" s="176">
        <f>K50</f>
        <v>0</v>
      </c>
      <c r="M50" s="177"/>
      <c r="N50" s="58"/>
      <c r="P50" s="175" t="s">
        <v>29</v>
      </c>
      <c r="Q50" s="167">
        <f>COUNTIFS('1. All Data'!$AA$3:$AA$134,"Creating a prosperous East Staffordshire",'1. All Data'!$R$3:$R$134,"Deferred")</f>
        <v>0</v>
      </c>
      <c r="R50" s="176">
        <f>Q50/Q52</f>
        <v>0</v>
      </c>
      <c r="S50" s="176">
        <f>R50</f>
        <v>0</v>
      </c>
      <c r="T50" s="177"/>
      <c r="U50" s="58"/>
      <c r="W50" s="175" t="s">
        <v>29</v>
      </c>
      <c r="X50" s="167">
        <f>COUNTIFS('1. All Data'!$AA$3:$AA$134,"Creating a prosperous East Staffordshire",'1. All Data'!$V$3:$V$134,"Deferred")</f>
        <v>0</v>
      </c>
      <c r="Y50" s="168">
        <f>X50/X52</f>
        <v>0</v>
      </c>
      <c r="Z50" s="168">
        <f t="shared" si="6"/>
        <v>0</v>
      </c>
      <c r="AA50" s="177"/>
      <c r="AB50" s="58"/>
    </row>
    <row r="51" spans="2:30" ht="15.75" customHeight="1">
      <c r="B51" s="175" t="s">
        <v>30</v>
      </c>
      <c r="C51" s="192">
        <f>COUNTIFS('1. All Data'!$AA$3:$AA$134,"Creating a prosperous East Staffordshire",'1. All Data'!$H$3:$H$134,"Deleted")</f>
        <v>0</v>
      </c>
      <c r="D51" s="176">
        <f>C51/C52</f>
        <v>0</v>
      </c>
      <c r="E51" s="176">
        <f>D51</f>
        <v>0</v>
      </c>
      <c r="F51" s="177"/>
      <c r="G51" s="3"/>
      <c r="I51" s="175" t="s">
        <v>30</v>
      </c>
      <c r="J51" s="192">
        <f>COUNTIFS('1. All Data'!$AA$3:$AA$134,"Creating a prosperous East Staffordshire",'1. All Data'!$M$3:$M$134,"Deleted")</f>
        <v>0</v>
      </c>
      <c r="K51" s="176">
        <f>J51/J52</f>
        <v>0</v>
      </c>
      <c r="L51" s="176">
        <f>K51</f>
        <v>0</v>
      </c>
      <c r="M51" s="177"/>
      <c r="N51" s="3"/>
      <c r="P51" s="175" t="s">
        <v>30</v>
      </c>
      <c r="Q51" s="192">
        <f>COUNTIFS('1. All Data'!$AA$3:$AA$134,"Creating a prosperous East Staffordshire",'1. All Data'!$R$3:$R$134,"Deleted")</f>
        <v>0</v>
      </c>
      <c r="R51" s="176">
        <f>Q51/Q52</f>
        <v>0</v>
      </c>
      <c r="S51" s="176">
        <f>R51</f>
        <v>0</v>
      </c>
      <c r="T51" s="177"/>
      <c r="U51" s="3"/>
      <c r="W51" s="175" t="s">
        <v>30</v>
      </c>
      <c r="X51" s="167">
        <f>COUNTIFS('1. All Data'!$AA$3:$AA$134,"Creating a prosperous East Staffordshire",'1. All Data'!$V$3:$V$134,"Deleted")</f>
        <v>0</v>
      </c>
      <c r="Y51" s="168">
        <f>X51/X52</f>
        <v>0</v>
      </c>
      <c r="Z51" s="168">
        <f t="shared" si="6"/>
        <v>0</v>
      </c>
      <c r="AA51" s="177"/>
      <c r="AD51" s="3"/>
    </row>
    <row r="52" spans="2:30" ht="15.75" customHeight="1">
      <c r="B52" s="193" t="s">
        <v>51</v>
      </c>
      <c r="C52" s="179">
        <f>SUM(C41:C51)</f>
        <v>11</v>
      </c>
      <c r="D52" s="177"/>
      <c r="E52" s="177"/>
      <c r="F52" s="58"/>
      <c r="G52" s="58"/>
      <c r="I52" s="193" t="s">
        <v>51</v>
      </c>
      <c r="J52" s="179">
        <f>SUM(J41:J51)</f>
        <v>11</v>
      </c>
      <c r="K52" s="177"/>
      <c r="L52" s="177"/>
      <c r="M52" s="58"/>
      <c r="N52" s="58"/>
      <c r="P52" s="193" t="s">
        <v>51</v>
      </c>
      <c r="Q52" s="179">
        <f>SUM(Q41:Q51)</f>
        <v>11</v>
      </c>
      <c r="R52" s="177"/>
      <c r="S52" s="177"/>
      <c r="T52" s="58"/>
      <c r="U52" s="58"/>
      <c r="W52" s="178" t="s">
        <v>51</v>
      </c>
      <c r="X52" s="179">
        <f>SUM(X41:X51)</f>
        <v>11</v>
      </c>
      <c r="Y52" s="177"/>
      <c r="Z52" s="177"/>
      <c r="AA52" s="58"/>
      <c r="AB52" s="58"/>
    </row>
    <row r="53" spans="2:30" ht="15.75" customHeight="1">
      <c r="B53" s="193" t="s">
        <v>52</v>
      </c>
      <c r="C53" s="179">
        <f>C52-C51-C50-C49-C48</f>
        <v>7</v>
      </c>
      <c r="D53" s="58"/>
      <c r="E53" s="58"/>
      <c r="F53" s="58"/>
      <c r="G53" s="58"/>
      <c r="I53" s="193" t="s">
        <v>52</v>
      </c>
      <c r="J53" s="179">
        <f>J52-J51-J50-J49-J48</f>
        <v>10</v>
      </c>
      <c r="K53" s="58"/>
      <c r="L53" s="58"/>
      <c r="M53" s="58"/>
      <c r="N53" s="58"/>
      <c r="P53" s="193" t="s">
        <v>52</v>
      </c>
      <c r="Q53" s="179">
        <f>Q52-Q51-Q50-Q49-Q48</f>
        <v>10</v>
      </c>
      <c r="R53" s="58"/>
      <c r="S53" s="58"/>
      <c r="T53" s="58"/>
      <c r="U53" s="58"/>
      <c r="W53" s="178" t="s">
        <v>52</v>
      </c>
      <c r="X53" s="179">
        <f>X52-X51-X50-X49-X48</f>
        <v>11</v>
      </c>
      <c r="Y53" s="58"/>
      <c r="Z53" s="58"/>
      <c r="AA53" s="58"/>
      <c r="AB53" s="58"/>
    </row>
    <row r="54" spans="2:30" ht="15.75" hidden="1" customHeight="1">
      <c r="X54" s="194"/>
    </row>
    <row r="55" spans="2:30" ht="15.75" hidden="1" customHeight="1">
      <c r="X55" s="194"/>
    </row>
    <row r="56" spans="2:30" ht="15.75" customHeight="1">
      <c r="X56" s="194"/>
    </row>
    <row r="57" spans="2:30" ht="15.75" customHeight="1">
      <c r="B57" s="188" t="s">
        <v>405</v>
      </c>
      <c r="C57" s="189"/>
      <c r="D57" s="189"/>
      <c r="E57" s="189"/>
      <c r="F57" s="190"/>
      <c r="G57" s="191"/>
      <c r="I57" s="188" t="s">
        <v>405</v>
      </c>
      <c r="J57" s="189"/>
      <c r="K57" s="189"/>
      <c r="L57" s="189"/>
      <c r="M57" s="190"/>
      <c r="N57" s="191"/>
      <c r="P57" s="188" t="s">
        <v>405</v>
      </c>
      <c r="Q57" s="189"/>
      <c r="R57" s="189"/>
      <c r="S57" s="189"/>
      <c r="T57" s="190"/>
      <c r="U57" s="191"/>
      <c r="W57" s="188" t="s">
        <v>405</v>
      </c>
      <c r="X57" s="195"/>
      <c r="Y57" s="162"/>
      <c r="Z57" s="162"/>
      <c r="AA57" s="162"/>
      <c r="AB57" s="163"/>
    </row>
    <row r="58" spans="2:30" ht="41.25" customHeight="1">
      <c r="B58" s="164" t="s">
        <v>42</v>
      </c>
      <c r="C58" s="164" t="s">
        <v>43</v>
      </c>
      <c r="D58" s="164" t="s">
        <v>44</v>
      </c>
      <c r="E58" s="164" t="s">
        <v>45</v>
      </c>
      <c r="F58" s="164" t="s">
        <v>46</v>
      </c>
      <c r="G58" s="164" t="s">
        <v>47</v>
      </c>
      <c r="I58" s="164" t="s">
        <v>42</v>
      </c>
      <c r="J58" s="164" t="s">
        <v>43</v>
      </c>
      <c r="K58" s="164" t="s">
        <v>44</v>
      </c>
      <c r="L58" s="164" t="s">
        <v>45</v>
      </c>
      <c r="M58" s="164" t="s">
        <v>46</v>
      </c>
      <c r="N58" s="164" t="s">
        <v>47</v>
      </c>
      <c r="P58" s="164" t="s">
        <v>42</v>
      </c>
      <c r="Q58" s="164" t="s">
        <v>43</v>
      </c>
      <c r="R58" s="164" t="s">
        <v>44</v>
      </c>
      <c r="S58" s="164" t="s">
        <v>45</v>
      </c>
      <c r="T58" s="164" t="s">
        <v>46</v>
      </c>
      <c r="U58" s="164" t="s">
        <v>47</v>
      </c>
      <c r="W58" s="164" t="s">
        <v>42</v>
      </c>
      <c r="X58" s="164" t="s">
        <v>43</v>
      </c>
      <c r="Y58" s="164" t="s">
        <v>44</v>
      </c>
      <c r="Z58" s="164" t="s">
        <v>45</v>
      </c>
      <c r="AA58" s="164" t="s">
        <v>46</v>
      </c>
      <c r="AB58" s="164" t="s">
        <v>47</v>
      </c>
    </row>
    <row r="59" spans="2:30" ht="27.75" customHeight="1">
      <c r="B59" s="227" t="s">
        <v>48</v>
      </c>
      <c r="C59" s="167">
        <f>COUNTIFS('1. All Data'!$AA$3:$AA$134,"Developing a Green New Deal for East Staffordshire",'1. All Data'!$H$3:$H$134,"Fully Achieved")</f>
        <v>0</v>
      </c>
      <c r="D59" s="168">
        <f>C59/C70</f>
        <v>0</v>
      </c>
      <c r="E59" s="413">
        <f>D59+D60</f>
        <v>0.54545454545454541</v>
      </c>
      <c r="F59" s="168">
        <f>C59/C71</f>
        <v>0</v>
      </c>
      <c r="G59" s="415">
        <f>F59+F60</f>
        <v>0.8571428571428571</v>
      </c>
      <c r="I59" s="227" t="s">
        <v>48</v>
      </c>
      <c r="J59" s="167">
        <f>COUNTIFS('1. All Data'!$AA$3:$AA$134,"Developing a Green New Deal for East Staffordshire",'1. All Data'!$M$3:$M$134,"Fully Achieved")</f>
        <v>1</v>
      </c>
      <c r="K59" s="168">
        <f>J59/J70</f>
        <v>9.0909090909090912E-2</v>
      </c>
      <c r="L59" s="413">
        <f>K59+K60</f>
        <v>0.90909090909090917</v>
      </c>
      <c r="M59" s="168">
        <f>J59/J71</f>
        <v>0.1</v>
      </c>
      <c r="N59" s="415">
        <f>M59+M60</f>
        <v>1</v>
      </c>
      <c r="P59" s="227" t="s">
        <v>48</v>
      </c>
      <c r="Q59" s="167">
        <f>COUNTIFS('1. All Data'!$AA$3:$AA$134,"Developing a Green New Deal for East Staffordshire",'1. All Data'!$R$3:$R$134,"Fully Achieved")</f>
        <v>8</v>
      </c>
      <c r="R59" s="168">
        <f>Q59/Q70</f>
        <v>0.72727272727272729</v>
      </c>
      <c r="S59" s="413">
        <f>R59+R60</f>
        <v>1</v>
      </c>
      <c r="T59" s="168">
        <f>Q59/Q71</f>
        <v>0.72727272727272729</v>
      </c>
      <c r="U59" s="415">
        <f>T59+T60</f>
        <v>1</v>
      </c>
      <c r="W59" s="227" t="s">
        <v>48</v>
      </c>
      <c r="X59" s="167">
        <f>COUNTIFS('1. All Data'!$AA$3:$AA$134,"Developing a Green New Deal for East Staffordshire",'1. All Data'!$V$3:$V$134,"Fully Achieved")</f>
        <v>10</v>
      </c>
      <c r="Y59" s="168">
        <f>X59/X70</f>
        <v>0.90909090909090906</v>
      </c>
      <c r="Z59" s="413">
        <f>Y59+Y60</f>
        <v>0.90909090909090906</v>
      </c>
      <c r="AA59" s="168">
        <f>X59/X71</f>
        <v>0.90909090909090906</v>
      </c>
      <c r="AB59" s="415">
        <f>AA59+AA60</f>
        <v>0.90909090909090906</v>
      </c>
    </row>
    <row r="60" spans="2:30" ht="27.75" customHeight="1">
      <c r="B60" s="227" t="s">
        <v>31</v>
      </c>
      <c r="C60" s="167">
        <f>COUNTIFS('1. All Data'!$AA$3:$AA$134,"Developing a Green New Deal for East Staffordshire",'1. All Data'!$H$3:$H$134,"On Track to be achieved")</f>
        <v>6</v>
      </c>
      <c r="D60" s="168">
        <f>C60/C70</f>
        <v>0.54545454545454541</v>
      </c>
      <c r="E60" s="413"/>
      <c r="F60" s="168">
        <f>C60/C71</f>
        <v>0.8571428571428571</v>
      </c>
      <c r="G60" s="415"/>
      <c r="I60" s="227" t="s">
        <v>31</v>
      </c>
      <c r="J60" s="167">
        <f>COUNTIFS('1. All Data'!$AA$3:$AA$134,"Developing a Green New Deal for East Staffordshire",'1. All Data'!$M$3:$M$134,"On Track to be achieved")</f>
        <v>9</v>
      </c>
      <c r="K60" s="168">
        <f>J60/J70</f>
        <v>0.81818181818181823</v>
      </c>
      <c r="L60" s="413"/>
      <c r="M60" s="168">
        <f>J60/J71</f>
        <v>0.9</v>
      </c>
      <c r="N60" s="415"/>
      <c r="P60" s="227" t="s">
        <v>31</v>
      </c>
      <c r="Q60" s="167">
        <f>COUNTIFS('1. All Data'!$AA$3:$AA$134,"Developing a Green New Deal for East Staffordshire",'1. All Data'!$R$3:$R$134,"On Track to be achieved")</f>
        <v>3</v>
      </c>
      <c r="R60" s="168">
        <f>Q60/Q70</f>
        <v>0.27272727272727271</v>
      </c>
      <c r="S60" s="413"/>
      <c r="T60" s="168">
        <f>Q60/Q71</f>
        <v>0.27272727272727271</v>
      </c>
      <c r="U60" s="415"/>
      <c r="W60" s="227" t="s">
        <v>23</v>
      </c>
      <c r="X60" s="167">
        <f>COUNTIFS('1. All Data'!$AA$3:$AA$134,"Developing a Green New Deal for East Staffordshire",'1. All Data'!$V$3:$V$134,"Numerical Outturn Within 5% Tolerance")</f>
        <v>0</v>
      </c>
      <c r="Y60" s="168">
        <f>X60/X70</f>
        <v>0</v>
      </c>
      <c r="Z60" s="413"/>
      <c r="AA60" s="168">
        <f>X60/X71</f>
        <v>0</v>
      </c>
      <c r="AB60" s="415"/>
    </row>
    <row r="61" spans="2:30" ht="18.75" customHeight="1">
      <c r="B61" s="423" t="s">
        <v>32</v>
      </c>
      <c r="C61" s="426">
        <f>COUNTIFS('1. All Data'!$AA$3:$AA$134,"Developing a Green New Deal for East Staffordshire",'1. All Data'!$H$3:$H$134,"In Danger of Falling Behind Target")</f>
        <v>1</v>
      </c>
      <c r="D61" s="416">
        <f>C61/C70</f>
        <v>9.0909090909090912E-2</v>
      </c>
      <c r="E61" s="416">
        <f>D61</f>
        <v>9.0909090909090912E-2</v>
      </c>
      <c r="F61" s="416">
        <f>C61/C71</f>
        <v>0.14285714285714285</v>
      </c>
      <c r="G61" s="419">
        <f>F61</f>
        <v>0.14285714285714285</v>
      </c>
      <c r="I61" s="423" t="s">
        <v>32</v>
      </c>
      <c r="J61" s="426">
        <f>COUNTIFS('1. All Data'!$AA$3:$AA$134,"Developing a Green New Deal for East Staffordshire",'1. All Data'!$M$3:$M$134,"In Danger of Falling Behind Target")</f>
        <v>0</v>
      </c>
      <c r="K61" s="416">
        <f>J61/J70</f>
        <v>0</v>
      </c>
      <c r="L61" s="416">
        <f>K61</f>
        <v>0</v>
      </c>
      <c r="M61" s="416">
        <f>J61/J71</f>
        <v>0</v>
      </c>
      <c r="N61" s="419">
        <f>M61</f>
        <v>0</v>
      </c>
      <c r="P61" s="423" t="s">
        <v>32</v>
      </c>
      <c r="Q61" s="426">
        <f>COUNTIFS('1. All Data'!$AA$3:$AA$134,"Developing a Green New Deal for East Staffordshire",'1. All Data'!$R$3:$R$134,"In Danger of Falling Behind Target")</f>
        <v>0</v>
      </c>
      <c r="R61" s="416">
        <f>Q61/Q70</f>
        <v>0</v>
      </c>
      <c r="S61" s="416">
        <f>R61</f>
        <v>0</v>
      </c>
      <c r="T61" s="416">
        <f>Q61/Q71</f>
        <v>0</v>
      </c>
      <c r="U61" s="419">
        <f>T61</f>
        <v>0</v>
      </c>
      <c r="W61" s="169" t="s">
        <v>24</v>
      </c>
      <c r="X61" s="170">
        <f>COUNTIFS('1. All Data'!$AA$3:$AA$134,"Developing a Green New Deal for East Staffordshire",'1. All Data'!$V$3:$V$134,"Numerical Outturn Within 10% Tolerance")</f>
        <v>0</v>
      </c>
      <c r="Y61" s="168">
        <f>X61/$X$34</f>
        <v>0</v>
      </c>
      <c r="Z61" s="413">
        <f>SUM(Y61:Y63)</f>
        <v>0</v>
      </c>
      <c r="AA61" s="168">
        <f>X61/X71</f>
        <v>0</v>
      </c>
      <c r="AB61" s="422">
        <f>SUM(AA61:AA63)</f>
        <v>0</v>
      </c>
    </row>
    <row r="62" spans="2:30" ht="18.75" customHeight="1">
      <c r="B62" s="424"/>
      <c r="C62" s="427"/>
      <c r="D62" s="417"/>
      <c r="E62" s="417"/>
      <c r="F62" s="417"/>
      <c r="G62" s="420"/>
      <c r="I62" s="424"/>
      <c r="J62" s="427"/>
      <c r="K62" s="417"/>
      <c r="L62" s="417"/>
      <c r="M62" s="417"/>
      <c r="N62" s="420"/>
      <c r="P62" s="424"/>
      <c r="Q62" s="427"/>
      <c r="R62" s="417"/>
      <c r="S62" s="417"/>
      <c r="T62" s="417"/>
      <c r="U62" s="420"/>
      <c r="W62" s="169" t="s">
        <v>25</v>
      </c>
      <c r="X62" s="170">
        <f>COUNTIFS('1. All Data'!$AA$3:$AA$134,"Developing a Green New Deal for East Staffordshire",'1. All Data'!$V$3:$V$134,"Target Partially Met")</f>
        <v>0</v>
      </c>
      <c r="Y62" s="168">
        <f>X62/$X$34</f>
        <v>0</v>
      </c>
      <c r="Z62" s="413"/>
      <c r="AA62" s="168">
        <f>X62/X71</f>
        <v>0</v>
      </c>
      <c r="AB62" s="422"/>
    </row>
    <row r="63" spans="2:30" ht="18.75" customHeight="1">
      <c r="B63" s="425"/>
      <c r="C63" s="428"/>
      <c r="D63" s="418"/>
      <c r="E63" s="418"/>
      <c r="F63" s="418"/>
      <c r="G63" s="421"/>
      <c r="I63" s="425"/>
      <c r="J63" s="428"/>
      <c r="K63" s="418"/>
      <c r="L63" s="418"/>
      <c r="M63" s="418"/>
      <c r="N63" s="421"/>
      <c r="P63" s="425"/>
      <c r="Q63" s="428"/>
      <c r="R63" s="418"/>
      <c r="S63" s="418"/>
      <c r="T63" s="418"/>
      <c r="U63" s="421"/>
      <c r="W63" s="169" t="s">
        <v>28</v>
      </c>
      <c r="X63" s="170">
        <f>COUNTIFS('1. All Data'!$AA$3:$AA$134,"Developing a Green New Deal for East Staffordshire",'1. All Data'!$V$3:$V$134,"Completion Date Within Reasonable Tolerance")</f>
        <v>0</v>
      </c>
      <c r="Y63" s="168">
        <f>X63/$X$34</f>
        <v>0</v>
      </c>
      <c r="Z63" s="413"/>
      <c r="AA63" s="168">
        <f>X63/X71</f>
        <v>0</v>
      </c>
      <c r="AB63" s="422"/>
    </row>
    <row r="64" spans="2:30" ht="30" customHeight="1">
      <c r="B64" s="171" t="s">
        <v>33</v>
      </c>
      <c r="C64" s="167">
        <f>COUNTIFS('1. All Data'!$AA$3:$AA$134,"Developing a Green New Deal for East Staffordshire",'1. All Data'!$H$3:$H$134,"Completed Behind Schedule")</f>
        <v>0</v>
      </c>
      <c r="D64" s="168">
        <f>C64/C70</f>
        <v>0</v>
      </c>
      <c r="E64" s="413">
        <f>D64+D65</f>
        <v>0</v>
      </c>
      <c r="F64" s="168">
        <f>C64/C71</f>
        <v>0</v>
      </c>
      <c r="G64" s="414">
        <f>F64+F65</f>
        <v>0</v>
      </c>
      <c r="I64" s="171" t="s">
        <v>33</v>
      </c>
      <c r="J64" s="167">
        <f>COUNTIFS('1. All Data'!$AA$3:$AA$134,"Developing a Green New Deal for East Staffordshire",'1. All Data'!$M$3:$M$134,"Completed Behind Schedule")</f>
        <v>0</v>
      </c>
      <c r="K64" s="168">
        <f>J64/J70</f>
        <v>0</v>
      </c>
      <c r="L64" s="413">
        <f>K64+K65</f>
        <v>0</v>
      </c>
      <c r="M64" s="168">
        <f>J64/J71</f>
        <v>0</v>
      </c>
      <c r="N64" s="414">
        <f>M64+M65</f>
        <v>0</v>
      </c>
      <c r="P64" s="171" t="s">
        <v>33</v>
      </c>
      <c r="Q64" s="167">
        <f>COUNTIFS('1. All Data'!$AA$3:$AA$134,"Developing a Green New Deal for East Staffordshire",'1. All Data'!$R$3:$R$134,"Completed Behind Schedule")</f>
        <v>0</v>
      </c>
      <c r="R64" s="168">
        <f>Q64/Q70</f>
        <v>0</v>
      </c>
      <c r="S64" s="413">
        <f>R64+R65</f>
        <v>0</v>
      </c>
      <c r="T64" s="168">
        <f>Q64/Q71</f>
        <v>0</v>
      </c>
      <c r="U64" s="414">
        <f>T64+T65</f>
        <v>0</v>
      </c>
      <c r="W64" s="171" t="s">
        <v>27</v>
      </c>
      <c r="X64" s="167">
        <f>COUNTIFS('1. All Data'!$AA$3:$AA$134,"Developing a Green New Deal for East Staffordshire",'1. All Data'!$V$3:$V$134,"Completed Significantly After Target Deadline")</f>
        <v>0</v>
      </c>
      <c r="Y64" s="168">
        <f>X64/$X$34</f>
        <v>0</v>
      </c>
      <c r="Z64" s="413">
        <f>SUM(Y64:Y65)</f>
        <v>0.16666666666666666</v>
      </c>
      <c r="AA64" s="168">
        <f>X64/X71</f>
        <v>0</v>
      </c>
      <c r="AB64" s="414">
        <f>AA64+AA65</f>
        <v>9.0909090909090912E-2</v>
      </c>
    </row>
    <row r="65" spans="2:30" ht="30" customHeight="1">
      <c r="B65" s="171" t="s">
        <v>26</v>
      </c>
      <c r="C65" s="167">
        <f>COUNTIFS('1. All Data'!$AA$3:$AA$134,"Developing a Green New Deal for East Staffordshire",'1. All Data'!$H$3:$H$134,"Off Target")</f>
        <v>0</v>
      </c>
      <c r="D65" s="168">
        <f>C65/C70</f>
        <v>0</v>
      </c>
      <c r="E65" s="413"/>
      <c r="F65" s="168">
        <f>C65/C71</f>
        <v>0</v>
      </c>
      <c r="G65" s="414"/>
      <c r="I65" s="171" t="s">
        <v>26</v>
      </c>
      <c r="J65" s="167">
        <f>COUNTIFS('1. All Data'!$AA$3:$AA$134,"Developing a Green New Deal for East Staffordshire",'1. All Data'!$M$3:$M$134,"Off Target")</f>
        <v>0</v>
      </c>
      <c r="K65" s="168">
        <f>J65/J70</f>
        <v>0</v>
      </c>
      <c r="L65" s="413"/>
      <c r="M65" s="168">
        <f>J65/J71</f>
        <v>0</v>
      </c>
      <c r="N65" s="414"/>
      <c r="P65" s="171" t="s">
        <v>26</v>
      </c>
      <c r="Q65" s="167">
        <f>COUNTIFS('1. All Data'!$AA$3:$AA$134,"Developing a Green New Deal for East Staffordshire",'1. All Data'!$R$3:$R$134,"Off Target")</f>
        <v>0</v>
      </c>
      <c r="R65" s="168">
        <f>Q65/Q70</f>
        <v>0</v>
      </c>
      <c r="S65" s="413"/>
      <c r="T65" s="168">
        <f>Q65/Q71</f>
        <v>0</v>
      </c>
      <c r="U65" s="414"/>
      <c r="W65" s="171" t="s">
        <v>26</v>
      </c>
      <c r="X65" s="167">
        <f>COUNTIFS('1. All Data'!$AA$3:$AA$134,"Developing a Green New Deal for East Staffordshire",'1. All Data'!$V$3:$V$134,"Off Target")</f>
        <v>1</v>
      </c>
      <c r="Y65" s="168">
        <f>X65/$X$34</f>
        <v>0.16666666666666666</v>
      </c>
      <c r="Z65" s="413"/>
      <c r="AA65" s="168">
        <f>X65/X71</f>
        <v>9.0909090909090912E-2</v>
      </c>
      <c r="AB65" s="414"/>
    </row>
    <row r="66" spans="2:30" ht="15.75" customHeight="1">
      <c r="B66" s="172" t="s">
        <v>49</v>
      </c>
      <c r="C66" s="167">
        <f>COUNTIFS('1. All Data'!$AA$3:$AA$134,"Developing a Green New Deal for East Staffordshire",'1. All Data'!$H$3:$H$134,"Not yet due")</f>
        <v>4</v>
      </c>
      <c r="D66" s="173">
        <f>C66/C70</f>
        <v>0.36363636363636365</v>
      </c>
      <c r="E66" s="173">
        <f>D66</f>
        <v>0.36363636363636365</v>
      </c>
      <c r="F66" s="174"/>
      <c r="G66" s="58"/>
      <c r="I66" s="172" t="s">
        <v>49</v>
      </c>
      <c r="J66" s="167">
        <f>COUNTIFS('1. All Data'!$AA$3:$AA$134,"Developing a Green New Deal for East Staffordshire",'1. All Data'!$M$3:$M$134,"Not yet due")</f>
        <v>1</v>
      </c>
      <c r="K66" s="173">
        <f>J66/J70</f>
        <v>9.0909090909090912E-2</v>
      </c>
      <c r="L66" s="173">
        <f>K66</f>
        <v>9.0909090909090912E-2</v>
      </c>
      <c r="M66" s="174"/>
      <c r="N66" s="58"/>
      <c r="P66" s="172" t="s">
        <v>49</v>
      </c>
      <c r="Q66" s="167">
        <f>COUNTIFS('1. All Data'!$AA$3:$AA$134,"Developing a Green New Deal for East Staffordshire",'1. All Data'!$R$3:$R$134,"Not yet due")</f>
        <v>0</v>
      </c>
      <c r="R66" s="173">
        <f>Q66/Q70</f>
        <v>0</v>
      </c>
      <c r="S66" s="173">
        <f>R66</f>
        <v>0</v>
      </c>
      <c r="T66" s="174"/>
      <c r="U66" s="58"/>
      <c r="W66" s="172" t="s">
        <v>49</v>
      </c>
      <c r="X66" s="167">
        <f>COUNTIFS('1. All Data'!$AA$3:$AA$134,"Developing a Green New Deal for East Staffordshire",'1. All Data'!$V$3:$V$134,"Not yet due")</f>
        <v>0</v>
      </c>
      <c r="Y66" s="168">
        <f t="shared" ref="Y66:Y69" si="7">X66/$X$34</f>
        <v>0</v>
      </c>
      <c r="Z66" s="168">
        <f>Y66</f>
        <v>0</v>
      </c>
      <c r="AA66" s="174"/>
      <c r="AB66" s="58"/>
    </row>
    <row r="67" spans="2:30" ht="15.75" customHeight="1">
      <c r="B67" s="172" t="s">
        <v>21</v>
      </c>
      <c r="C67" s="167">
        <f>COUNTIFS('1. All Data'!$AA$3:$AA$134,"Developing a Green New Deal for East Staffordshire",'1. All Data'!$H$3:$H$134,"update not provided")</f>
        <v>0</v>
      </c>
      <c r="D67" s="173">
        <f>C67/C70</f>
        <v>0</v>
      </c>
      <c r="E67" s="173">
        <f>D67</f>
        <v>0</v>
      </c>
      <c r="F67" s="174"/>
      <c r="G67" s="2"/>
      <c r="I67" s="172" t="s">
        <v>21</v>
      </c>
      <c r="J67" s="167">
        <f>COUNTIFS('1. All Data'!$AA$3:$AA$134,"Developing a Green New Deal for East Staffordshire",'1. All Data'!$M$3:$M$134,"update not provided")</f>
        <v>0</v>
      </c>
      <c r="K67" s="173">
        <f>J67/J70</f>
        <v>0</v>
      </c>
      <c r="L67" s="173">
        <f>K67</f>
        <v>0</v>
      </c>
      <c r="M67" s="174"/>
      <c r="N67" s="2"/>
      <c r="P67" s="172" t="s">
        <v>21</v>
      </c>
      <c r="Q67" s="167">
        <f>COUNTIFS('1. All Data'!$AA$3:$AA$134,"Developing a Green New Deal for East Staffordshire",'1. All Data'!$R$3:$R$134,"update not provided")</f>
        <v>0</v>
      </c>
      <c r="R67" s="173">
        <f>Q67/Q70</f>
        <v>0</v>
      </c>
      <c r="S67" s="173">
        <f>R67</f>
        <v>0</v>
      </c>
      <c r="T67" s="174"/>
      <c r="U67" s="2"/>
      <c r="W67" s="172" t="s">
        <v>21</v>
      </c>
      <c r="X67" s="167">
        <f>COUNTIFS('1. All Data'!$AA$3:$AA$134,"Developing a Green New Deal for East Staffordshire",'1. All Data'!$V$3:$V$134,"update not provided")</f>
        <v>0</v>
      </c>
      <c r="Y67" s="168">
        <f t="shared" si="7"/>
        <v>0</v>
      </c>
      <c r="Z67" s="168">
        <f>Y67</f>
        <v>0</v>
      </c>
      <c r="AA67" s="174"/>
      <c r="AB67" s="2"/>
    </row>
    <row r="68" spans="2:30" ht="15.75" customHeight="1">
      <c r="B68" s="175" t="s">
        <v>29</v>
      </c>
      <c r="C68" s="167">
        <f>COUNTIFS('1. All Data'!$AA$3:$AA$134,"Developing a Green New Deal for East Staffordshire",'1. All Data'!$H$3:$H$134,"Deferred")</f>
        <v>0</v>
      </c>
      <c r="D68" s="176">
        <f>C68/C70</f>
        <v>0</v>
      </c>
      <c r="E68" s="176">
        <f>D68</f>
        <v>0</v>
      </c>
      <c r="F68" s="177"/>
      <c r="G68" s="58"/>
      <c r="I68" s="175" t="s">
        <v>29</v>
      </c>
      <c r="J68" s="167">
        <f>COUNTIFS('1. All Data'!$AA$3:$AA$134,"Developing a Green New Deal for East Staffordshire",'1. All Data'!$M$3:$M$134,"Deferred")</f>
        <v>0</v>
      </c>
      <c r="K68" s="176">
        <f>J68/J70</f>
        <v>0</v>
      </c>
      <c r="L68" s="176">
        <f>K68</f>
        <v>0</v>
      </c>
      <c r="M68" s="177"/>
      <c r="N68" s="58"/>
      <c r="P68" s="175" t="s">
        <v>29</v>
      </c>
      <c r="Q68" s="167">
        <f>COUNTIFS('1. All Data'!$AA$3:$AA$134,"Developing a Green New Deal for East Staffordshire",'1. All Data'!$R$3:$R$134,"Deferred")</f>
        <v>0</v>
      </c>
      <c r="R68" s="176">
        <f>Q68/Q70</f>
        <v>0</v>
      </c>
      <c r="S68" s="176">
        <f>R68</f>
        <v>0</v>
      </c>
      <c r="T68" s="177"/>
      <c r="U68" s="58"/>
      <c r="W68" s="175" t="s">
        <v>29</v>
      </c>
      <c r="X68" s="167">
        <f>COUNTIFS('1. All Data'!$AA$3:$AA$134,"Developing a Green New Deal for East Staffordshire",'1. All Data'!$V$3:$V$134,"Deferred")</f>
        <v>0</v>
      </c>
      <c r="Y68" s="168">
        <f t="shared" si="7"/>
        <v>0</v>
      </c>
      <c r="Z68" s="168">
        <f t="shared" ref="Z68:Z69" si="8">Y68</f>
        <v>0</v>
      </c>
      <c r="AA68" s="177"/>
      <c r="AB68" s="58"/>
    </row>
    <row r="69" spans="2:30" ht="15.75" customHeight="1">
      <c r="B69" s="175" t="s">
        <v>30</v>
      </c>
      <c r="C69" s="167">
        <f>COUNTIFS('1. All Data'!$AA$3:$AA$134,"Developing a Green New Deal for East Staffordshire",'1. All Data'!$H$3:$H$134,"Deleted")</f>
        <v>0</v>
      </c>
      <c r="D69" s="176">
        <f>C69/C70</f>
        <v>0</v>
      </c>
      <c r="E69" s="176">
        <f>D69</f>
        <v>0</v>
      </c>
      <c r="F69" s="177"/>
      <c r="G69" s="3"/>
      <c r="I69" s="175" t="s">
        <v>30</v>
      </c>
      <c r="J69" s="167">
        <f>COUNTIFS('1. All Data'!$AA$3:$AA$134,"Developing a Green New Deal for East Staffordshire",'1. All Data'!$M$3:$M$134,"Deleted")</f>
        <v>0</v>
      </c>
      <c r="K69" s="176">
        <f>J69/J70</f>
        <v>0</v>
      </c>
      <c r="L69" s="176">
        <f>K69</f>
        <v>0</v>
      </c>
      <c r="M69" s="177"/>
      <c r="N69" s="3"/>
      <c r="P69" s="175" t="s">
        <v>30</v>
      </c>
      <c r="Q69" s="167">
        <f>COUNTIFS('1. All Data'!$AA$3:$AA$134,"Developing a Green New Deal for East Staffordshire",'1. All Data'!$R$3:$R$134,"Deleted")</f>
        <v>0</v>
      </c>
      <c r="R69" s="176">
        <f>Q69/Q70</f>
        <v>0</v>
      </c>
      <c r="S69" s="176">
        <f>R69</f>
        <v>0</v>
      </c>
      <c r="T69" s="177"/>
      <c r="U69" s="3"/>
      <c r="W69" s="175" t="s">
        <v>30</v>
      </c>
      <c r="X69" s="167">
        <f>COUNTIFS('1. All Data'!$AA$3:$AA$134,"Developing a Green New Deal for East Staffordshire",'1. All Data'!$V$3:$V$134,"Deleted")</f>
        <v>0</v>
      </c>
      <c r="Y69" s="168">
        <f t="shared" si="7"/>
        <v>0</v>
      </c>
      <c r="Z69" s="168">
        <f t="shared" si="8"/>
        <v>0</v>
      </c>
      <c r="AA69" s="177"/>
      <c r="AD69" s="3"/>
    </row>
    <row r="70" spans="2:30" ht="15.75" customHeight="1">
      <c r="B70" s="193" t="s">
        <v>51</v>
      </c>
      <c r="C70" s="179">
        <f>SUM(C59:C69)</f>
        <v>11</v>
      </c>
      <c r="D70" s="177"/>
      <c r="E70" s="177"/>
      <c r="F70" s="58"/>
      <c r="G70" s="58"/>
      <c r="I70" s="193" t="s">
        <v>51</v>
      </c>
      <c r="J70" s="179">
        <f>SUM(J59:J69)</f>
        <v>11</v>
      </c>
      <c r="K70" s="177"/>
      <c r="L70" s="177"/>
      <c r="M70" s="58"/>
      <c r="N70" s="58"/>
      <c r="P70" s="193" t="s">
        <v>51</v>
      </c>
      <c r="Q70" s="179">
        <f>SUM(Q59:Q69)</f>
        <v>11</v>
      </c>
      <c r="R70" s="177"/>
      <c r="S70" s="177"/>
      <c r="T70" s="58"/>
      <c r="U70" s="58"/>
      <c r="W70" s="178" t="s">
        <v>51</v>
      </c>
      <c r="X70" s="179">
        <f>SUM(X59:X69)</f>
        <v>11</v>
      </c>
      <c r="Y70" s="177"/>
      <c r="Z70" s="177"/>
      <c r="AA70" s="58"/>
      <c r="AB70" s="58"/>
    </row>
    <row r="71" spans="2:30" ht="15.75" customHeight="1">
      <c r="B71" s="193" t="s">
        <v>52</v>
      </c>
      <c r="C71" s="179">
        <f>C70-C69-C68-C67-C66</f>
        <v>7</v>
      </c>
      <c r="D71" s="58"/>
      <c r="E71" s="58"/>
      <c r="F71" s="58"/>
      <c r="G71" s="58"/>
      <c r="I71" s="193" t="s">
        <v>52</v>
      </c>
      <c r="J71" s="179">
        <f>J70-J69-J68-J67-J66</f>
        <v>10</v>
      </c>
      <c r="K71" s="58"/>
      <c r="L71" s="58"/>
      <c r="M71" s="58"/>
      <c r="N71" s="58"/>
      <c r="P71" s="193" t="s">
        <v>52</v>
      </c>
      <c r="Q71" s="179">
        <f>Q70-Q69-Q68-Q67-Q66</f>
        <v>11</v>
      </c>
      <c r="R71" s="58"/>
      <c r="S71" s="58"/>
      <c r="T71" s="58"/>
      <c r="U71" s="58"/>
      <c r="W71" s="178" t="s">
        <v>52</v>
      </c>
      <c r="X71" s="179">
        <f>X70-X69-X68-X67-X66</f>
        <v>11</v>
      </c>
      <c r="Y71" s="58"/>
      <c r="Z71" s="58"/>
      <c r="AA71" s="58"/>
      <c r="AB71" s="58"/>
    </row>
    <row r="72" spans="2:30" ht="15.6" hidden="1" customHeight="1">
      <c r="AB72" s="186"/>
    </row>
    <row r="73" spans="2:30" ht="15.75" hidden="1" customHeight="1">
      <c r="AB73" s="186"/>
    </row>
    <row r="75" spans="2:30" ht="15.75">
      <c r="B75" s="188" t="s">
        <v>406</v>
      </c>
      <c r="C75" s="189"/>
      <c r="D75" s="189"/>
      <c r="E75" s="189"/>
      <c r="F75" s="190"/>
      <c r="G75" s="191"/>
      <c r="I75" s="188" t="s">
        <v>406</v>
      </c>
      <c r="J75" s="189"/>
      <c r="K75" s="189"/>
      <c r="L75" s="189"/>
      <c r="M75" s="190"/>
      <c r="N75" s="191"/>
      <c r="P75" s="188" t="s">
        <v>406</v>
      </c>
      <c r="Q75" s="189"/>
      <c r="R75" s="189"/>
      <c r="S75" s="189"/>
      <c r="T75" s="190"/>
      <c r="U75" s="191"/>
      <c r="W75" s="188" t="s">
        <v>406</v>
      </c>
      <c r="X75" s="195"/>
      <c r="Y75" s="162"/>
      <c r="Z75" s="162"/>
      <c r="AA75" s="162"/>
      <c r="AB75" s="163"/>
    </row>
    <row r="76" spans="2:30" ht="31.5">
      <c r="B76" s="164" t="s">
        <v>42</v>
      </c>
      <c r="C76" s="164" t="s">
        <v>43</v>
      </c>
      <c r="D76" s="164" t="s">
        <v>44</v>
      </c>
      <c r="E76" s="164" t="s">
        <v>45</v>
      </c>
      <c r="F76" s="164" t="s">
        <v>46</v>
      </c>
      <c r="G76" s="164" t="s">
        <v>47</v>
      </c>
      <c r="I76" s="164" t="s">
        <v>42</v>
      </c>
      <c r="J76" s="164" t="s">
        <v>43</v>
      </c>
      <c r="K76" s="164" t="s">
        <v>44</v>
      </c>
      <c r="L76" s="164" t="s">
        <v>45</v>
      </c>
      <c r="M76" s="164" t="s">
        <v>46</v>
      </c>
      <c r="N76" s="164" t="s">
        <v>47</v>
      </c>
      <c r="P76" s="164" t="s">
        <v>42</v>
      </c>
      <c r="Q76" s="164" t="s">
        <v>43</v>
      </c>
      <c r="R76" s="164" t="s">
        <v>44</v>
      </c>
      <c r="S76" s="164" t="s">
        <v>45</v>
      </c>
      <c r="T76" s="164" t="s">
        <v>46</v>
      </c>
      <c r="U76" s="164" t="s">
        <v>47</v>
      </c>
      <c r="W76" s="164" t="s">
        <v>42</v>
      </c>
      <c r="X76" s="164" t="s">
        <v>43</v>
      </c>
      <c r="Y76" s="164" t="s">
        <v>44</v>
      </c>
      <c r="Z76" s="164" t="s">
        <v>45</v>
      </c>
      <c r="AA76" s="164" t="s">
        <v>46</v>
      </c>
      <c r="AB76" s="164" t="s">
        <v>47</v>
      </c>
    </row>
    <row r="77" spans="2:30" ht="15.75">
      <c r="B77" s="227" t="s">
        <v>48</v>
      </c>
      <c r="C77" s="167">
        <f>COUNTIFS('1. All Data'!$AA$3:$AA$134,"Protecting our heritage",'1. All Data'!$H$3:$H$134,"Fully Achieved")</f>
        <v>1</v>
      </c>
      <c r="D77" s="250">
        <f>C77/C88</f>
        <v>0.2</v>
      </c>
      <c r="E77" s="413">
        <f>D77+D78</f>
        <v>0.60000000000000009</v>
      </c>
      <c r="F77" s="250">
        <f>C77/C89</f>
        <v>0.33333333333333331</v>
      </c>
      <c r="G77" s="415">
        <f>F77+F78</f>
        <v>1</v>
      </c>
      <c r="I77" s="227" t="s">
        <v>48</v>
      </c>
      <c r="J77" s="167">
        <f>COUNTIFS('1. All Data'!$AA$3:$AA$134,"Protecting our heritage",'1. All Data'!$M$3:$M$134,"Fully Achieved")</f>
        <v>4</v>
      </c>
      <c r="K77" s="250">
        <f>J77/J88</f>
        <v>0.8</v>
      </c>
      <c r="L77" s="413">
        <f>K77+K78</f>
        <v>0.8</v>
      </c>
      <c r="M77" s="250">
        <f>J77/J89</f>
        <v>1</v>
      </c>
      <c r="N77" s="415">
        <f>M77+M78</f>
        <v>1</v>
      </c>
      <c r="P77" s="227" t="s">
        <v>48</v>
      </c>
      <c r="Q77" s="167">
        <f>COUNTIFS('1. All Data'!$AA$3:$AA$134,"Protecting our heritage",'1. All Data'!$R$3:$R$134,"Fully Achieved")</f>
        <v>4</v>
      </c>
      <c r="R77" s="250">
        <f>Q77/Q88</f>
        <v>0.8</v>
      </c>
      <c r="S77" s="413">
        <f>R77+R78</f>
        <v>0.8</v>
      </c>
      <c r="T77" s="250">
        <f>Q77/Q89</f>
        <v>1</v>
      </c>
      <c r="U77" s="415">
        <f>T77+T78</f>
        <v>1</v>
      </c>
      <c r="W77" s="227" t="s">
        <v>48</v>
      </c>
      <c r="X77" s="167">
        <f>COUNTIFS('1. All Data'!$AA$3:$AA$134,"Protecting our heritage",'1. All Data'!$V$3:$V$134,"Fully Achieved")</f>
        <v>4</v>
      </c>
      <c r="Y77" s="250">
        <f>X77/X88</f>
        <v>0.8</v>
      </c>
      <c r="Z77" s="413">
        <f>Y77+Y78</f>
        <v>0.8</v>
      </c>
      <c r="AA77" s="250">
        <f>X77/X89</f>
        <v>1</v>
      </c>
      <c r="AB77" s="415">
        <f>AA77+AA78</f>
        <v>1</v>
      </c>
    </row>
    <row r="78" spans="2:30" ht="15.75">
      <c r="B78" s="227" t="s">
        <v>31</v>
      </c>
      <c r="C78" s="167">
        <f>COUNTIFS('1. All Data'!$AA$3:$AA$134,"Protecting our heritage",'1. All Data'!$H$3:$H$134,"On Track to be achieved")</f>
        <v>2</v>
      </c>
      <c r="D78" s="250">
        <f>C78/C88</f>
        <v>0.4</v>
      </c>
      <c r="E78" s="413"/>
      <c r="F78" s="250">
        <f>C78/C89</f>
        <v>0.66666666666666663</v>
      </c>
      <c r="G78" s="415"/>
      <c r="I78" s="227" t="s">
        <v>31</v>
      </c>
      <c r="J78" s="167">
        <f>COUNTIFS('1. All Data'!$AA$3:$AA$134,"Protecting our heritage",'1. All Data'!$M$3:$M$134,"On Track to be achieved")</f>
        <v>0</v>
      </c>
      <c r="K78" s="250">
        <f>J78/J88</f>
        <v>0</v>
      </c>
      <c r="L78" s="413"/>
      <c r="M78" s="250">
        <f>J78/J89</f>
        <v>0</v>
      </c>
      <c r="N78" s="415"/>
      <c r="P78" s="227" t="s">
        <v>31</v>
      </c>
      <c r="Q78" s="167">
        <f>COUNTIFS('1. All Data'!$AA$3:$AA$134,"Protecting our heritage",'1. All Data'!$R$3:$R$134,"On Track to be achieved")</f>
        <v>0</v>
      </c>
      <c r="R78" s="250">
        <f>Q78/Q88</f>
        <v>0</v>
      </c>
      <c r="S78" s="413"/>
      <c r="T78" s="250">
        <f>Q78/Q89</f>
        <v>0</v>
      </c>
      <c r="U78" s="415"/>
      <c r="W78" s="227" t="s">
        <v>23</v>
      </c>
      <c r="X78" s="167">
        <f>COUNTIFS('1. All Data'!$AA$3:$AA$134,"Protecting our heritage",'1. All Data'!$V$3:$V$134,"Numerical Outturn Within 5% Tolerance")</f>
        <v>0</v>
      </c>
      <c r="Y78" s="250">
        <f>X78/X88</f>
        <v>0</v>
      </c>
      <c r="Z78" s="413"/>
      <c r="AA78" s="250">
        <f>X78/X89</f>
        <v>0</v>
      </c>
      <c r="AB78" s="415"/>
    </row>
    <row r="79" spans="2:30" ht="15.75">
      <c r="B79" s="423" t="s">
        <v>32</v>
      </c>
      <c r="C79" s="426">
        <f>COUNTIFS('1. All Data'!$AA$3:$AA$134,"Protecting our heritage",'1. All Data'!$H$3:$H$134,"In Danger of Falling Behind Target")</f>
        <v>0</v>
      </c>
      <c r="D79" s="416">
        <f>C79/C88</f>
        <v>0</v>
      </c>
      <c r="E79" s="416">
        <f>D79</f>
        <v>0</v>
      </c>
      <c r="F79" s="416">
        <f>C79/C89</f>
        <v>0</v>
      </c>
      <c r="G79" s="419">
        <f>F79</f>
        <v>0</v>
      </c>
      <c r="I79" s="423" t="s">
        <v>32</v>
      </c>
      <c r="J79" s="426">
        <f>COUNTIFS('1. All Data'!$AA$3:$AA$134,"Protecting our heritage",'1. All Data'!$M$3:$M$134,"In Danger of Falling Behind Target")</f>
        <v>0</v>
      </c>
      <c r="K79" s="416">
        <f>J79/J88</f>
        <v>0</v>
      </c>
      <c r="L79" s="416">
        <f>K79</f>
        <v>0</v>
      </c>
      <c r="M79" s="416">
        <f>J79/J89</f>
        <v>0</v>
      </c>
      <c r="N79" s="419">
        <f>M79</f>
        <v>0</v>
      </c>
      <c r="P79" s="423" t="s">
        <v>32</v>
      </c>
      <c r="Q79" s="426">
        <f>COUNTIFS('1. All Data'!$AA$3:$AA$134,"Protecting our heritage",'1. All Data'!$R$3:$R$134,"In Danger of Falling Behind Target")</f>
        <v>0</v>
      </c>
      <c r="R79" s="416">
        <f>Q79/Q88</f>
        <v>0</v>
      </c>
      <c r="S79" s="416">
        <f>R79</f>
        <v>0</v>
      </c>
      <c r="T79" s="416">
        <f>Q79/Q89</f>
        <v>0</v>
      </c>
      <c r="U79" s="419">
        <f>T79</f>
        <v>0</v>
      </c>
      <c r="W79" s="169" t="s">
        <v>24</v>
      </c>
      <c r="X79" s="170">
        <f>COUNTIFS('1. All Data'!$AA$3:$AA$134,"Protecting our heritage",'1. All Data'!$V$3:$V$134,"Numerical Outturn Within 10% Tolerance")</f>
        <v>0</v>
      </c>
      <c r="Y79" s="250">
        <f>X79/$X$34</f>
        <v>0</v>
      </c>
      <c r="Z79" s="413">
        <f>SUM(Y79:Y81)</f>
        <v>0</v>
      </c>
      <c r="AA79" s="250">
        <f>X79/X89</f>
        <v>0</v>
      </c>
      <c r="AB79" s="422">
        <f>SUM(AA79:AA81)</f>
        <v>0</v>
      </c>
    </row>
    <row r="80" spans="2:30" ht="15.75">
      <c r="B80" s="424"/>
      <c r="C80" s="427"/>
      <c r="D80" s="417"/>
      <c r="E80" s="417"/>
      <c r="F80" s="417"/>
      <c r="G80" s="420"/>
      <c r="I80" s="424"/>
      <c r="J80" s="427"/>
      <c r="K80" s="417"/>
      <c r="L80" s="417"/>
      <c r="M80" s="417"/>
      <c r="N80" s="420"/>
      <c r="P80" s="424"/>
      <c r="Q80" s="427"/>
      <c r="R80" s="417"/>
      <c r="S80" s="417"/>
      <c r="T80" s="417"/>
      <c r="U80" s="420"/>
      <c r="W80" s="169" t="s">
        <v>25</v>
      </c>
      <c r="X80" s="170">
        <f>COUNTIFS('1. All Data'!$AA$3:$AA$134,"Protecting our heritage",'1. All Data'!$V$3:$V$134,"Target Partially Met")</f>
        <v>0</v>
      </c>
      <c r="Y80" s="250">
        <f>X80/$X$34</f>
        <v>0</v>
      </c>
      <c r="Z80" s="413"/>
      <c r="AA80" s="250">
        <f>X80/X89</f>
        <v>0</v>
      </c>
      <c r="AB80" s="422"/>
    </row>
    <row r="81" spans="2:28" ht="15.75">
      <c r="B81" s="425"/>
      <c r="C81" s="428"/>
      <c r="D81" s="418"/>
      <c r="E81" s="418"/>
      <c r="F81" s="418"/>
      <c r="G81" s="421"/>
      <c r="I81" s="425"/>
      <c r="J81" s="428"/>
      <c r="K81" s="418"/>
      <c r="L81" s="418"/>
      <c r="M81" s="418"/>
      <c r="N81" s="421"/>
      <c r="P81" s="425"/>
      <c r="Q81" s="428"/>
      <c r="R81" s="418"/>
      <c r="S81" s="418"/>
      <c r="T81" s="418"/>
      <c r="U81" s="421"/>
      <c r="W81" s="169" t="s">
        <v>28</v>
      </c>
      <c r="X81" s="170">
        <f>COUNTIFS('1. All Data'!$AA$3:$AA$134,"Protecting our heritage",'1. All Data'!$V$3:$V$134,"Completion Date Within Reasonable Tolerance")</f>
        <v>0</v>
      </c>
      <c r="Y81" s="250">
        <f>X81/$X$34</f>
        <v>0</v>
      </c>
      <c r="Z81" s="413"/>
      <c r="AA81" s="250">
        <f>X81/X89</f>
        <v>0</v>
      </c>
      <c r="AB81" s="422"/>
    </row>
    <row r="82" spans="2:28" ht="15.75">
      <c r="B82" s="171" t="s">
        <v>33</v>
      </c>
      <c r="C82" s="167">
        <f>COUNTIFS('1. All Data'!$AA$3:$AA$134,"Protecting our heritage",'1. All Data'!$H$3:$H$134,"Completed Behind Schedule")</f>
        <v>0</v>
      </c>
      <c r="D82" s="250">
        <f>C82/C88</f>
        <v>0</v>
      </c>
      <c r="E82" s="413">
        <f>D82+D83</f>
        <v>0</v>
      </c>
      <c r="F82" s="250">
        <f>C82/C89</f>
        <v>0</v>
      </c>
      <c r="G82" s="414">
        <f>F82+F83</f>
        <v>0</v>
      </c>
      <c r="I82" s="171" t="s">
        <v>33</v>
      </c>
      <c r="J82" s="167">
        <f>COUNTIFS('1. All Data'!$AA$3:$AA$134,"Protecting our heritage",'1. All Data'!$M$3:$M$134,"Completed Behind Schedule")</f>
        <v>0</v>
      </c>
      <c r="K82" s="250">
        <f>J82/J88</f>
        <v>0</v>
      </c>
      <c r="L82" s="413">
        <f>K82+K83</f>
        <v>0</v>
      </c>
      <c r="M82" s="250">
        <f>J82/J89</f>
        <v>0</v>
      </c>
      <c r="N82" s="414">
        <f>M82+M83</f>
        <v>0</v>
      </c>
      <c r="P82" s="171" t="s">
        <v>33</v>
      </c>
      <c r="Q82" s="167">
        <f>COUNTIFS('1. All Data'!$AA$3:$AA$134,"Protecting our heritage",'1. All Data'!$R$3:$R$134,"Completed Behind Schedule")</f>
        <v>0</v>
      </c>
      <c r="R82" s="250">
        <f>Q82/Q88</f>
        <v>0</v>
      </c>
      <c r="S82" s="413">
        <f>R82+R83</f>
        <v>0</v>
      </c>
      <c r="T82" s="250">
        <f>Q82/Q89</f>
        <v>0</v>
      </c>
      <c r="U82" s="414">
        <f>T82+T83</f>
        <v>0</v>
      </c>
      <c r="W82" s="171" t="s">
        <v>27</v>
      </c>
      <c r="X82" s="167">
        <f>COUNTIFS('1. All Data'!$AA$3:$AA$134,"Protecting our heritage",'1. All Data'!$V$3:$V$134,"Completed Significantly After Target Deadline")</f>
        <v>0</v>
      </c>
      <c r="Y82" s="250">
        <f>X82/$X$34</f>
        <v>0</v>
      </c>
      <c r="Z82" s="413">
        <f>SUM(Y82:Y83)</f>
        <v>0</v>
      </c>
      <c r="AA82" s="250">
        <f>X82/X89</f>
        <v>0</v>
      </c>
      <c r="AB82" s="414">
        <f>AA82+AA83</f>
        <v>0</v>
      </c>
    </row>
    <row r="83" spans="2:28" ht="15.75">
      <c r="B83" s="171" t="s">
        <v>26</v>
      </c>
      <c r="C83" s="167">
        <f>COUNTIFS('1. All Data'!$AA$3:$AA$134,"Protecting our heritage",'1. All Data'!$H$3:$H$134,"Off Target")</f>
        <v>0</v>
      </c>
      <c r="D83" s="250">
        <f>C83/C88</f>
        <v>0</v>
      </c>
      <c r="E83" s="413"/>
      <c r="F83" s="250">
        <f>C83/C89</f>
        <v>0</v>
      </c>
      <c r="G83" s="414"/>
      <c r="I83" s="171" t="s">
        <v>26</v>
      </c>
      <c r="J83" s="167">
        <f>COUNTIFS('1. All Data'!$AA$3:$AA$134,"Protecting our heritage",'1. All Data'!$M$3:$M$134,"Off Target")</f>
        <v>0</v>
      </c>
      <c r="K83" s="250">
        <f>J83/J88</f>
        <v>0</v>
      </c>
      <c r="L83" s="413"/>
      <c r="M83" s="250">
        <f>J83/J89</f>
        <v>0</v>
      </c>
      <c r="N83" s="414"/>
      <c r="P83" s="171" t="s">
        <v>26</v>
      </c>
      <c r="Q83" s="167">
        <f>COUNTIFS('1. All Data'!$AA$3:$AA$134,"Protecting our heritage",'1. All Data'!$R$3:$R$134,"Off Target")</f>
        <v>0</v>
      </c>
      <c r="R83" s="250">
        <f>Q83/Q88</f>
        <v>0</v>
      </c>
      <c r="S83" s="413"/>
      <c r="T83" s="250">
        <f>Q83/Q89</f>
        <v>0</v>
      </c>
      <c r="U83" s="414"/>
      <c r="W83" s="171" t="s">
        <v>26</v>
      </c>
      <c r="X83" s="167">
        <f>COUNTIFS('1. All Data'!$AA$3:$AA$134,"Protecting our heritage",'1. All Data'!$V$3:$V$134,"Off Target")</f>
        <v>0</v>
      </c>
      <c r="Y83" s="250">
        <f>X83/$X$34</f>
        <v>0</v>
      </c>
      <c r="Z83" s="413"/>
      <c r="AA83" s="250">
        <f>X83/X89</f>
        <v>0</v>
      </c>
      <c r="AB83" s="414"/>
    </row>
    <row r="84" spans="2:28" ht="15.75">
      <c r="B84" s="172" t="s">
        <v>49</v>
      </c>
      <c r="C84" s="167">
        <f>COUNTIFS('1. All Data'!$AA$3:$AA$134,"Protecting our heritage",'1. All Data'!$H$3:$H$134,"Not yet due")</f>
        <v>2</v>
      </c>
      <c r="D84" s="173">
        <f>C84/C88</f>
        <v>0.4</v>
      </c>
      <c r="E84" s="173">
        <f>D84</f>
        <v>0.4</v>
      </c>
      <c r="F84" s="174"/>
      <c r="G84" s="58"/>
      <c r="I84" s="172" t="s">
        <v>49</v>
      </c>
      <c r="J84" s="167">
        <f>COUNTIFS('1. All Data'!$AA$3:$AA$134,"Protecting our heritage",'1. All Data'!$M$3:$M$134,"Not yet due")</f>
        <v>0</v>
      </c>
      <c r="K84" s="173">
        <f>J84/J88</f>
        <v>0</v>
      </c>
      <c r="L84" s="173">
        <f>K84</f>
        <v>0</v>
      </c>
      <c r="M84" s="174"/>
      <c r="N84" s="58"/>
      <c r="P84" s="172" t="s">
        <v>49</v>
      </c>
      <c r="Q84" s="167">
        <f>COUNTIFS('1. All Data'!$AA$3:$AA$134,"Protecting our heritage",'1. All Data'!$R$3:$R$134,"Not yet due")</f>
        <v>0</v>
      </c>
      <c r="R84" s="173">
        <f>Q84/Q88</f>
        <v>0</v>
      </c>
      <c r="S84" s="173">
        <f>R84</f>
        <v>0</v>
      </c>
      <c r="T84" s="174"/>
      <c r="U84" s="58"/>
      <c r="W84" s="172" t="s">
        <v>49</v>
      </c>
      <c r="X84" s="167">
        <f>COUNTIFS('1. All Data'!$AA$3:$AA$134,"Protecting our heritage",'1. All Data'!$V$3:$V$134,"Not yet due")</f>
        <v>0</v>
      </c>
      <c r="Y84" s="250">
        <f t="shared" ref="Y84:Y87" si="9">X84/$X$34</f>
        <v>0</v>
      </c>
      <c r="Z84" s="250">
        <f>Y84</f>
        <v>0</v>
      </c>
      <c r="AA84" s="174"/>
      <c r="AB84" s="58"/>
    </row>
    <row r="85" spans="2:28" ht="15.75">
      <c r="B85" s="172" t="s">
        <v>21</v>
      </c>
      <c r="C85" s="167">
        <f>COUNTIFS('1. All Data'!$AA$3:$AA$134,"Protecting our heritage",'1. All Data'!$H$3:$H$134,"update not provided")</f>
        <v>0</v>
      </c>
      <c r="D85" s="173">
        <f>C85/C88</f>
        <v>0</v>
      </c>
      <c r="E85" s="173">
        <f>D85</f>
        <v>0</v>
      </c>
      <c r="F85" s="174"/>
      <c r="G85" s="2"/>
      <c r="I85" s="172" t="s">
        <v>21</v>
      </c>
      <c r="J85" s="167">
        <f>COUNTIFS('1. All Data'!$AA$3:$AA$134,"Protecting our heritage",'1. All Data'!$M$3:$M$134,"update not provided")</f>
        <v>0</v>
      </c>
      <c r="K85" s="173">
        <f>J85/J88</f>
        <v>0</v>
      </c>
      <c r="L85" s="173">
        <f>K85</f>
        <v>0</v>
      </c>
      <c r="M85" s="174"/>
      <c r="N85" s="2"/>
      <c r="P85" s="172" t="s">
        <v>21</v>
      </c>
      <c r="Q85" s="167">
        <f>COUNTIFS('1. All Data'!$AA$3:$AA$134,"Protecting our heritage",'1. All Data'!$R$3:$R$134,"update not provided")</f>
        <v>0</v>
      </c>
      <c r="R85" s="173">
        <f>Q85/Q88</f>
        <v>0</v>
      </c>
      <c r="S85" s="173">
        <f>R85</f>
        <v>0</v>
      </c>
      <c r="T85" s="174"/>
      <c r="U85" s="2"/>
      <c r="W85" s="172" t="s">
        <v>21</v>
      </c>
      <c r="X85" s="167">
        <f>COUNTIFS('1. All Data'!$AA$3:$AA$134,"Protecting our heritage",'1. All Data'!$V$3:$V$134,"update not provided")</f>
        <v>0</v>
      </c>
      <c r="Y85" s="250">
        <f t="shared" si="9"/>
        <v>0</v>
      </c>
      <c r="Z85" s="250">
        <f>Y85</f>
        <v>0</v>
      </c>
      <c r="AA85" s="174"/>
      <c r="AB85" s="2"/>
    </row>
    <row r="86" spans="2:28" ht="15.75">
      <c r="B86" s="175" t="s">
        <v>29</v>
      </c>
      <c r="C86" s="167">
        <f>COUNTIFS('1. All Data'!$AA$3:$AA$134,"Protecting our heritage",'1. All Data'!$H$3:$H$134,"Deferred")</f>
        <v>0</v>
      </c>
      <c r="D86" s="176">
        <f>C86/C88</f>
        <v>0</v>
      </c>
      <c r="E86" s="176">
        <f>D86</f>
        <v>0</v>
      </c>
      <c r="F86" s="177"/>
      <c r="G86" s="58"/>
      <c r="I86" s="175" t="s">
        <v>29</v>
      </c>
      <c r="J86" s="167">
        <f>COUNTIFS('1. All Data'!$AA$3:$AA$134,"Protecting our heritage",'1. All Data'!$M$3:$M$134,"Deferred")</f>
        <v>0</v>
      </c>
      <c r="K86" s="176">
        <f>J86/J88</f>
        <v>0</v>
      </c>
      <c r="L86" s="176">
        <f>K86</f>
        <v>0</v>
      </c>
      <c r="M86" s="177"/>
      <c r="N86" s="58"/>
      <c r="P86" s="175" t="s">
        <v>29</v>
      </c>
      <c r="Q86" s="167">
        <f>COUNTIFS('1. All Data'!$AA$3:$AA$134,"Protecting our heritage",'1. All Data'!$R$3:$R$134,"Deferred")</f>
        <v>0</v>
      </c>
      <c r="R86" s="176">
        <f>Q86/Q88</f>
        <v>0</v>
      </c>
      <c r="S86" s="176">
        <f>R86</f>
        <v>0</v>
      </c>
      <c r="T86" s="177"/>
      <c r="U86" s="58"/>
      <c r="W86" s="175" t="s">
        <v>29</v>
      </c>
      <c r="X86" s="167">
        <f>COUNTIFS('1. All Data'!$AA$3:$AA$134,"Protecting our heritage",'1. All Data'!$V$3:$V$134,"Deferred")</f>
        <v>0</v>
      </c>
      <c r="Y86" s="250">
        <f t="shared" si="9"/>
        <v>0</v>
      </c>
      <c r="Z86" s="250">
        <f t="shared" ref="Z86:Z87" si="10">Y86</f>
        <v>0</v>
      </c>
      <c r="AA86" s="177"/>
      <c r="AB86" s="58"/>
    </row>
    <row r="87" spans="2:28" ht="15.75">
      <c r="B87" s="175" t="s">
        <v>30</v>
      </c>
      <c r="C87" s="167">
        <f>COUNTIFS('1. All Data'!$AA$3:$AA$134,"Protecting our heritage",'1. All Data'!$H$3:$H$134,"Deleted")</f>
        <v>0</v>
      </c>
      <c r="D87" s="176">
        <f>C87/C88</f>
        <v>0</v>
      </c>
      <c r="E87" s="176">
        <f>D87</f>
        <v>0</v>
      </c>
      <c r="F87" s="177"/>
      <c r="G87" s="3"/>
      <c r="I87" s="175" t="s">
        <v>30</v>
      </c>
      <c r="J87" s="167">
        <f>COUNTIFS('1. All Data'!$AA$3:$AA$134,"Protecting our heritage",'1. All Data'!$M$3:$M$134,"Deleted")</f>
        <v>1</v>
      </c>
      <c r="K87" s="176">
        <f>J87/J88</f>
        <v>0.2</v>
      </c>
      <c r="L87" s="176">
        <f>K87</f>
        <v>0.2</v>
      </c>
      <c r="M87" s="177"/>
      <c r="N87" s="3"/>
      <c r="P87" s="175" t="s">
        <v>30</v>
      </c>
      <c r="Q87" s="167">
        <f>COUNTIFS('1. All Data'!$AA$3:$AA$134,"Protecting our heritage",'1. All Data'!$R$3:$R$134,"Deleted")</f>
        <v>1</v>
      </c>
      <c r="R87" s="176">
        <f>Q87/Q88</f>
        <v>0.2</v>
      </c>
      <c r="S87" s="176">
        <f>R87</f>
        <v>0.2</v>
      </c>
      <c r="T87" s="177"/>
      <c r="U87" s="3"/>
      <c r="W87" s="175" t="s">
        <v>30</v>
      </c>
      <c r="X87" s="167">
        <f>COUNTIFS('1. All Data'!$AA$3:$AA$134,"Protecting our heritage",'1. All Data'!$V$3:$V$134,"Deleted")</f>
        <v>1</v>
      </c>
      <c r="Y87" s="250">
        <f t="shared" si="9"/>
        <v>0.16666666666666666</v>
      </c>
      <c r="Z87" s="250">
        <f t="shared" si="10"/>
        <v>0.16666666666666666</v>
      </c>
      <c r="AA87" s="177"/>
    </row>
    <row r="88" spans="2:28" ht="15.75">
      <c r="B88" s="193" t="s">
        <v>51</v>
      </c>
      <c r="C88" s="179">
        <f>SUM(C77:C87)</f>
        <v>5</v>
      </c>
      <c r="D88" s="177"/>
      <c r="E88" s="177"/>
      <c r="F88" s="58"/>
      <c r="G88" s="58"/>
      <c r="I88" s="193" t="s">
        <v>51</v>
      </c>
      <c r="J88" s="179">
        <f>SUM(J77:J87)</f>
        <v>5</v>
      </c>
      <c r="K88" s="177"/>
      <c r="L88" s="177"/>
      <c r="M88" s="58"/>
      <c r="N88" s="58"/>
      <c r="P88" s="193" t="s">
        <v>51</v>
      </c>
      <c r="Q88" s="179">
        <f>SUM(Q77:Q87)</f>
        <v>5</v>
      </c>
      <c r="R88" s="177"/>
      <c r="S88" s="177"/>
      <c r="T88" s="58"/>
      <c r="U88" s="58"/>
      <c r="W88" s="178" t="s">
        <v>51</v>
      </c>
      <c r="X88" s="179">
        <f>SUM(X77:X87)</f>
        <v>5</v>
      </c>
      <c r="Y88" s="177"/>
      <c r="Z88" s="177"/>
      <c r="AA88" s="58"/>
      <c r="AB88" s="58"/>
    </row>
    <row r="89" spans="2:28" ht="15.75">
      <c r="B89" s="193" t="s">
        <v>52</v>
      </c>
      <c r="C89" s="179">
        <f>C88-C87-C86-C85-C84</f>
        <v>3</v>
      </c>
      <c r="D89" s="58"/>
      <c r="E89" s="58"/>
      <c r="F89" s="58"/>
      <c r="G89" s="58"/>
      <c r="I89" s="193" t="s">
        <v>52</v>
      </c>
      <c r="J89" s="179">
        <f>J88-J87-J86-J85-J84</f>
        <v>4</v>
      </c>
      <c r="K89" s="58"/>
      <c r="L89" s="58"/>
      <c r="M89" s="58"/>
      <c r="N89" s="58"/>
      <c r="P89" s="193" t="s">
        <v>52</v>
      </c>
      <c r="Q89" s="179">
        <f>Q88-Q87-Q86-Q85-Q84</f>
        <v>4</v>
      </c>
      <c r="R89" s="58"/>
      <c r="S89" s="58"/>
      <c r="T89" s="58"/>
      <c r="U89" s="58"/>
      <c r="W89" s="178" t="s">
        <v>52</v>
      </c>
      <c r="X89" s="179">
        <f>X88-X87-X86-X85-X84</f>
        <v>4</v>
      </c>
      <c r="Y89" s="58"/>
      <c r="Z89" s="58"/>
      <c r="AA89" s="58"/>
      <c r="AB89" s="58"/>
    </row>
    <row r="91" spans="2:28" hidden="1"/>
    <row r="92" spans="2:28" hidden="1"/>
    <row r="93" spans="2:28" ht="15.75">
      <c r="B93" s="188" t="s">
        <v>407</v>
      </c>
      <c r="C93" s="189"/>
      <c r="D93" s="189"/>
      <c r="E93" s="189"/>
      <c r="F93" s="190"/>
      <c r="G93" s="191"/>
      <c r="I93" s="188" t="s">
        <v>407</v>
      </c>
      <c r="J93" s="189"/>
      <c r="K93" s="189"/>
      <c r="L93" s="189"/>
      <c r="M93" s="190"/>
      <c r="N93" s="191"/>
      <c r="P93" s="188" t="s">
        <v>407</v>
      </c>
      <c r="Q93" s="189"/>
      <c r="R93" s="189"/>
      <c r="S93" s="189"/>
      <c r="T93" s="190"/>
      <c r="U93" s="191"/>
      <c r="W93" s="188" t="s">
        <v>407</v>
      </c>
      <c r="X93" s="195"/>
      <c r="Y93" s="162"/>
      <c r="Z93" s="162"/>
      <c r="AA93" s="162"/>
      <c r="AB93" s="163"/>
    </row>
    <row r="94" spans="2:28" ht="31.5">
      <c r="B94" s="164" t="s">
        <v>42</v>
      </c>
      <c r="C94" s="164" t="s">
        <v>43</v>
      </c>
      <c r="D94" s="164" t="s">
        <v>44</v>
      </c>
      <c r="E94" s="164" t="s">
        <v>45</v>
      </c>
      <c r="F94" s="164" t="s">
        <v>46</v>
      </c>
      <c r="G94" s="164" t="s">
        <v>47</v>
      </c>
      <c r="I94" s="164" t="s">
        <v>42</v>
      </c>
      <c r="J94" s="164" t="s">
        <v>43</v>
      </c>
      <c r="K94" s="164" t="s">
        <v>44</v>
      </c>
      <c r="L94" s="164" t="s">
        <v>45</v>
      </c>
      <c r="M94" s="164" t="s">
        <v>46</v>
      </c>
      <c r="N94" s="164" t="s">
        <v>47</v>
      </c>
      <c r="P94" s="164" t="s">
        <v>42</v>
      </c>
      <c r="Q94" s="164" t="s">
        <v>43</v>
      </c>
      <c r="R94" s="164" t="s">
        <v>44</v>
      </c>
      <c r="S94" s="164" t="s">
        <v>45</v>
      </c>
      <c r="T94" s="164" t="s">
        <v>46</v>
      </c>
      <c r="U94" s="164" t="s">
        <v>47</v>
      </c>
      <c r="W94" s="164" t="s">
        <v>42</v>
      </c>
      <c r="X94" s="164" t="s">
        <v>43</v>
      </c>
      <c r="Y94" s="164" t="s">
        <v>44</v>
      </c>
      <c r="Z94" s="164" t="s">
        <v>45</v>
      </c>
      <c r="AA94" s="164" t="s">
        <v>46</v>
      </c>
      <c r="AB94" s="164" t="s">
        <v>47</v>
      </c>
    </row>
    <row r="95" spans="2:28" ht="15.75">
      <c r="B95" s="227" t="s">
        <v>48</v>
      </c>
      <c r="C95" s="167">
        <f>COUNTIFS('1. All Data'!$AA$3:$AA$134,"Standing up for our communities",'1. All Data'!$H$3:$H$134,"Fully Achieved")</f>
        <v>1</v>
      </c>
      <c r="D95" s="250">
        <f>C95/C106</f>
        <v>0.2</v>
      </c>
      <c r="E95" s="413">
        <f>D95+D96</f>
        <v>0.60000000000000009</v>
      </c>
      <c r="F95" s="250">
        <f>C95/C107</f>
        <v>0.33333333333333331</v>
      </c>
      <c r="G95" s="415">
        <f>F95+F96</f>
        <v>1</v>
      </c>
      <c r="I95" s="227" t="s">
        <v>48</v>
      </c>
      <c r="J95" s="167">
        <f>COUNTIFS('1. All Data'!$AA$3:$AA$134,"Standing up for our communities",'1. All Data'!$M$3:$M$134,"Fully Achieved")</f>
        <v>3</v>
      </c>
      <c r="K95" s="250">
        <f>J95/J106</f>
        <v>0.6</v>
      </c>
      <c r="L95" s="413">
        <f>K95+K96</f>
        <v>1</v>
      </c>
      <c r="M95" s="250">
        <f>J95/J107</f>
        <v>0.6</v>
      </c>
      <c r="N95" s="415">
        <f>M95+M96</f>
        <v>1</v>
      </c>
      <c r="P95" s="227" t="s">
        <v>48</v>
      </c>
      <c r="Q95" s="167">
        <f>COUNTIFS('1. All Data'!$AA$3:$AA$134,"Standing up for our communities",'1. All Data'!$R$3:$R$134,"Fully Achieved")</f>
        <v>4</v>
      </c>
      <c r="R95" s="250">
        <f>Q95/Q106</f>
        <v>0.8</v>
      </c>
      <c r="S95" s="413">
        <f>R95+R96</f>
        <v>1</v>
      </c>
      <c r="T95" s="250">
        <f>Q95/Q107</f>
        <v>0.8</v>
      </c>
      <c r="U95" s="415">
        <f>T95+T96</f>
        <v>1</v>
      </c>
      <c r="W95" s="227" t="s">
        <v>48</v>
      </c>
      <c r="X95" s="167">
        <f>COUNTIFS('1. All Data'!$AA$3:$AA$134,"Standing up for our communities",'1. All Data'!$V$3:$V$134,"Fully Achieved")</f>
        <v>5</v>
      </c>
      <c r="Y95" s="250">
        <f>X95/X106</f>
        <v>1</v>
      </c>
      <c r="Z95" s="413">
        <f>Y95+Y96</f>
        <v>1</v>
      </c>
      <c r="AA95" s="250">
        <f>X95/X107</f>
        <v>1</v>
      </c>
      <c r="AB95" s="415">
        <f>AA95+AA96</f>
        <v>1</v>
      </c>
    </row>
    <row r="96" spans="2:28" ht="15.75">
      <c r="B96" s="227" t="s">
        <v>31</v>
      </c>
      <c r="C96" s="167">
        <f>COUNTIFS('1. All Data'!$AA$3:$AA$134,"Standing up for our communities",'1. All Data'!$H$3:$H$134,"On Track to be achieved")</f>
        <v>2</v>
      </c>
      <c r="D96" s="250">
        <f>C96/C106</f>
        <v>0.4</v>
      </c>
      <c r="E96" s="413"/>
      <c r="F96" s="250">
        <f>C96/C107</f>
        <v>0.66666666666666663</v>
      </c>
      <c r="G96" s="415"/>
      <c r="I96" s="227" t="s">
        <v>31</v>
      </c>
      <c r="J96" s="167">
        <f>COUNTIFS('1. All Data'!$AA$3:$AA$134,"Standing up for our communities",'1. All Data'!$M$3:$M$134,"On Track to be achieved")</f>
        <v>2</v>
      </c>
      <c r="K96" s="250">
        <f>J96/J106</f>
        <v>0.4</v>
      </c>
      <c r="L96" s="413"/>
      <c r="M96" s="250">
        <f>J96/J107</f>
        <v>0.4</v>
      </c>
      <c r="N96" s="415"/>
      <c r="P96" s="227" t="s">
        <v>31</v>
      </c>
      <c r="Q96" s="167">
        <f>COUNTIFS('1. All Data'!$AA$3:$AA$134,"Standing up for our communities",'1. All Data'!$R$3:$R$134,"On Track to be achieved")</f>
        <v>1</v>
      </c>
      <c r="R96" s="250">
        <f>Q96/Q106</f>
        <v>0.2</v>
      </c>
      <c r="S96" s="413"/>
      <c r="T96" s="250">
        <f>Q96/Q107</f>
        <v>0.2</v>
      </c>
      <c r="U96" s="415"/>
      <c r="W96" s="227" t="s">
        <v>23</v>
      </c>
      <c r="X96" s="167">
        <f>COUNTIFS('1. All Data'!$AA$3:$AA$134,"Standing up for our communities",'1. All Data'!$V$3:$V$134,"Numerical Outturn Within 5% Tolerance")</f>
        <v>0</v>
      </c>
      <c r="Y96" s="250">
        <f>X96/X106</f>
        <v>0</v>
      </c>
      <c r="Z96" s="413"/>
      <c r="AA96" s="250">
        <f>X96/X107</f>
        <v>0</v>
      </c>
      <c r="AB96" s="415"/>
    </row>
    <row r="97" spans="2:28" ht="15.75">
      <c r="B97" s="423" t="s">
        <v>32</v>
      </c>
      <c r="C97" s="426">
        <f>COUNTIFS('1. All Data'!$AA$3:$AA$134,"Standing up for our communities",'1. All Data'!$H$3:$H$134,"In Danger of Falling Behind Target")</f>
        <v>0</v>
      </c>
      <c r="D97" s="416">
        <f>C97/C106</f>
        <v>0</v>
      </c>
      <c r="E97" s="416">
        <f>D97</f>
        <v>0</v>
      </c>
      <c r="F97" s="416">
        <f>C97/C107</f>
        <v>0</v>
      </c>
      <c r="G97" s="419">
        <f>F97</f>
        <v>0</v>
      </c>
      <c r="I97" s="423" t="s">
        <v>32</v>
      </c>
      <c r="J97" s="426">
        <f>COUNTIFS('1. All Data'!$AA$3:$AA$134,"Standing up for our communities",'1. All Data'!$M$3:$M$134,"In Danger of Falling Behind Target")</f>
        <v>0</v>
      </c>
      <c r="K97" s="416">
        <f>J97/J106</f>
        <v>0</v>
      </c>
      <c r="L97" s="416">
        <f>K97</f>
        <v>0</v>
      </c>
      <c r="M97" s="416">
        <f>J97/J107</f>
        <v>0</v>
      </c>
      <c r="N97" s="419">
        <f>M97</f>
        <v>0</v>
      </c>
      <c r="P97" s="423" t="s">
        <v>32</v>
      </c>
      <c r="Q97" s="426">
        <f>COUNTIFS('1. All Data'!$AA$3:$AA$134,"Standing up for our communities",'1. All Data'!$R$3:$R$134,"In Danger of Falling Behind Target")</f>
        <v>0</v>
      </c>
      <c r="R97" s="416">
        <f>Q97/Q106</f>
        <v>0</v>
      </c>
      <c r="S97" s="416">
        <f>R97</f>
        <v>0</v>
      </c>
      <c r="T97" s="416">
        <f>Q97/Q107</f>
        <v>0</v>
      </c>
      <c r="U97" s="419">
        <f>T97</f>
        <v>0</v>
      </c>
      <c r="W97" s="169" t="s">
        <v>24</v>
      </c>
      <c r="X97" s="170">
        <f>COUNTIFS('1. All Data'!$AA$3:$AA$134,"Standing up for our communities",'1. All Data'!$V$3:$V$134,"Numerical Outturn Within 10% Tolerance")</f>
        <v>0</v>
      </c>
      <c r="Y97" s="250">
        <f>X97/$X$34</f>
        <v>0</v>
      </c>
      <c r="Z97" s="413">
        <f>SUM(Y97:Y99)</f>
        <v>0</v>
      </c>
      <c r="AA97" s="250">
        <f>X97/X107</f>
        <v>0</v>
      </c>
      <c r="AB97" s="422">
        <f>SUM(AA97:AA99)</f>
        <v>0</v>
      </c>
    </row>
    <row r="98" spans="2:28" ht="15.75">
      <c r="B98" s="424"/>
      <c r="C98" s="427"/>
      <c r="D98" s="417"/>
      <c r="E98" s="417"/>
      <c r="F98" s="417"/>
      <c r="G98" s="420"/>
      <c r="I98" s="424"/>
      <c r="J98" s="427"/>
      <c r="K98" s="417"/>
      <c r="L98" s="417"/>
      <c r="M98" s="417"/>
      <c r="N98" s="420"/>
      <c r="P98" s="424"/>
      <c r="Q98" s="427"/>
      <c r="R98" s="417"/>
      <c r="S98" s="417"/>
      <c r="T98" s="417"/>
      <c r="U98" s="420"/>
      <c r="W98" s="169" t="s">
        <v>25</v>
      </c>
      <c r="X98" s="170">
        <f>COUNTIFS('1. All Data'!$AA$3:$AA$134,"Standing up for our communities",'1. All Data'!$V$3:$V$134,"Target Partially Met")</f>
        <v>0</v>
      </c>
      <c r="Y98" s="250">
        <f>X98/$X$34</f>
        <v>0</v>
      </c>
      <c r="Z98" s="413"/>
      <c r="AA98" s="250">
        <f>X98/X107</f>
        <v>0</v>
      </c>
      <c r="AB98" s="422"/>
    </row>
    <row r="99" spans="2:28" ht="15.75">
      <c r="B99" s="425"/>
      <c r="C99" s="428"/>
      <c r="D99" s="418"/>
      <c r="E99" s="418"/>
      <c r="F99" s="418"/>
      <c r="G99" s="421"/>
      <c r="I99" s="425"/>
      <c r="J99" s="428"/>
      <c r="K99" s="418"/>
      <c r="L99" s="418"/>
      <c r="M99" s="418"/>
      <c r="N99" s="421"/>
      <c r="P99" s="425"/>
      <c r="Q99" s="428"/>
      <c r="R99" s="418"/>
      <c r="S99" s="418"/>
      <c r="T99" s="418"/>
      <c r="U99" s="421"/>
      <c r="W99" s="169" t="s">
        <v>28</v>
      </c>
      <c r="X99" s="170">
        <f>COUNTIFS('1. All Data'!$AA$3:$AA$134,"Standing up for our communities",'1. All Data'!$V$3:$V$134,"Completion Date Within Reasonable Tolerance")</f>
        <v>0</v>
      </c>
      <c r="Y99" s="250">
        <f>X99/$X$34</f>
        <v>0</v>
      </c>
      <c r="Z99" s="413"/>
      <c r="AA99" s="250">
        <f>X99/X107</f>
        <v>0</v>
      </c>
      <c r="AB99" s="422"/>
    </row>
    <row r="100" spans="2:28" ht="15.75">
      <c r="B100" s="171" t="s">
        <v>33</v>
      </c>
      <c r="C100" s="167">
        <f>COUNTIFS('1. All Data'!$AA$3:$AA$134,"Standing up for our communities",'1. All Data'!$H$3:$H$134,"Completed Behind Schedule")</f>
        <v>0</v>
      </c>
      <c r="D100" s="250">
        <f>C100/C106</f>
        <v>0</v>
      </c>
      <c r="E100" s="413">
        <f>D100+D101</f>
        <v>0</v>
      </c>
      <c r="F100" s="250">
        <f>C100/C107</f>
        <v>0</v>
      </c>
      <c r="G100" s="414">
        <f>F100+F101</f>
        <v>0</v>
      </c>
      <c r="I100" s="171" t="s">
        <v>33</v>
      </c>
      <c r="J100" s="167">
        <f>COUNTIFS('1. All Data'!$AA$3:$AA$134,"Standing up for our communities",'1. All Data'!$M$3:$M$134,"Completed Behind Schedule")</f>
        <v>0</v>
      </c>
      <c r="K100" s="250">
        <f>J100/J106</f>
        <v>0</v>
      </c>
      <c r="L100" s="413">
        <f>K100+K101</f>
        <v>0</v>
      </c>
      <c r="M100" s="250">
        <f>J100/J107</f>
        <v>0</v>
      </c>
      <c r="N100" s="414">
        <f>M100+M101</f>
        <v>0</v>
      </c>
      <c r="P100" s="171" t="s">
        <v>33</v>
      </c>
      <c r="Q100" s="167">
        <f>COUNTIFS('1. All Data'!$AA$3:$AA$134,"Standing up for our communities",'1. All Data'!$R$3:$R$134,"Completed Behind Schedule")</f>
        <v>0</v>
      </c>
      <c r="R100" s="250">
        <f>Q100/Q106</f>
        <v>0</v>
      </c>
      <c r="S100" s="413">
        <f>R100+R101</f>
        <v>0</v>
      </c>
      <c r="T100" s="250">
        <f>Q100/Q107</f>
        <v>0</v>
      </c>
      <c r="U100" s="414">
        <f>T100+T101</f>
        <v>0</v>
      </c>
      <c r="W100" s="171" t="s">
        <v>27</v>
      </c>
      <c r="X100" s="167">
        <f>COUNTIFS('1. All Data'!$AA$3:$AA$134,"Standing up for our communities",'1. All Data'!$V$3:$V$134,"Completed Significantly After Target Deadline")</f>
        <v>0</v>
      </c>
      <c r="Y100" s="250">
        <f>X100/$X$34</f>
        <v>0</v>
      </c>
      <c r="Z100" s="413">
        <f>SUM(Y100:Y101)</f>
        <v>0</v>
      </c>
      <c r="AA100" s="250">
        <f>X100/X107</f>
        <v>0</v>
      </c>
      <c r="AB100" s="414">
        <f>AA100+AA101</f>
        <v>0</v>
      </c>
    </row>
    <row r="101" spans="2:28" ht="15.75">
      <c r="B101" s="171" t="s">
        <v>26</v>
      </c>
      <c r="C101" s="167">
        <f>COUNTIFS('1. All Data'!$AA$3:$AA$134,"Standing up for our communities",'1. All Data'!$H$3:$H$134,"Off Target")</f>
        <v>0</v>
      </c>
      <c r="D101" s="250">
        <f>C101/C106</f>
        <v>0</v>
      </c>
      <c r="E101" s="413"/>
      <c r="F101" s="250">
        <f>C101/C107</f>
        <v>0</v>
      </c>
      <c r="G101" s="414"/>
      <c r="I101" s="171" t="s">
        <v>26</v>
      </c>
      <c r="J101" s="167">
        <f>COUNTIFS('1. All Data'!$AA$3:$AA$134,"Standing up for our communities",'1. All Data'!$M$3:$M$134,"Off Target")</f>
        <v>0</v>
      </c>
      <c r="K101" s="250">
        <f>J101/J106</f>
        <v>0</v>
      </c>
      <c r="L101" s="413"/>
      <c r="M101" s="250">
        <f>J101/J107</f>
        <v>0</v>
      </c>
      <c r="N101" s="414"/>
      <c r="P101" s="171" t="s">
        <v>26</v>
      </c>
      <c r="Q101" s="167">
        <f>COUNTIFS('1. All Data'!$AA$3:$AA$134,"Standing up for our communities",'1. All Data'!$R$3:$R$134,"Off Target")</f>
        <v>0</v>
      </c>
      <c r="R101" s="250">
        <f>Q101/Q106</f>
        <v>0</v>
      </c>
      <c r="S101" s="413"/>
      <c r="T101" s="250">
        <f>Q101/Q107</f>
        <v>0</v>
      </c>
      <c r="U101" s="414"/>
      <c r="W101" s="171" t="s">
        <v>26</v>
      </c>
      <c r="X101" s="167">
        <f>COUNTIFS('1. All Data'!$AA$3:$AA$134,"Standing up for our communities",'1. All Data'!$V$3:$V$134,"Off Target")</f>
        <v>0</v>
      </c>
      <c r="Y101" s="250">
        <f>X101/$X$34</f>
        <v>0</v>
      </c>
      <c r="Z101" s="413"/>
      <c r="AA101" s="250">
        <f>X101/X107</f>
        <v>0</v>
      </c>
      <c r="AB101" s="414"/>
    </row>
    <row r="102" spans="2:28" ht="15.75">
      <c r="B102" s="172" t="s">
        <v>49</v>
      </c>
      <c r="C102" s="167">
        <f>COUNTIFS('1. All Data'!$AA$3:$AA$134,"Standing up for our communities",'1. All Data'!$H$3:$H$134,"Not yet due")</f>
        <v>2</v>
      </c>
      <c r="D102" s="173">
        <f>C102/C106</f>
        <v>0.4</v>
      </c>
      <c r="E102" s="173">
        <f>D102</f>
        <v>0.4</v>
      </c>
      <c r="F102" s="174"/>
      <c r="G102" s="58"/>
      <c r="I102" s="172" t="s">
        <v>49</v>
      </c>
      <c r="J102" s="167">
        <f>COUNTIFS('1. All Data'!$AA$3:$AA$134,"Standing up for our communities",'1. All Data'!$M$3:$M$134,"Not yet due")</f>
        <v>0</v>
      </c>
      <c r="K102" s="173">
        <f>J102/J106</f>
        <v>0</v>
      </c>
      <c r="L102" s="173">
        <f>K102</f>
        <v>0</v>
      </c>
      <c r="M102" s="174"/>
      <c r="N102" s="58"/>
      <c r="P102" s="172" t="s">
        <v>49</v>
      </c>
      <c r="Q102" s="167">
        <f>COUNTIFS('1. All Data'!$AA$3:$AA$134,"Standing up for our communities",'1. All Data'!$R$3:$R$134,"Not yet due")</f>
        <v>0</v>
      </c>
      <c r="R102" s="173">
        <f>Q102/Q106</f>
        <v>0</v>
      </c>
      <c r="S102" s="173">
        <f>R102</f>
        <v>0</v>
      </c>
      <c r="T102" s="174"/>
      <c r="U102" s="58"/>
      <c r="W102" s="172" t="s">
        <v>49</v>
      </c>
      <c r="X102" s="167">
        <f>COUNTIFS('1. All Data'!$AA$3:$AA$134,"Standing up for our communities",'1. All Data'!$V$3:$V$134,"Not yet due")</f>
        <v>0</v>
      </c>
      <c r="Y102" s="250">
        <f t="shared" ref="Y102:Y105" si="11">X102/$X$34</f>
        <v>0</v>
      </c>
      <c r="Z102" s="250">
        <f>Y102</f>
        <v>0</v>
      </c>
      <c r="AA102" s="174"/>
      <c r="AB102" s="58"/>
    </row>
    <row r="103" spans="2:28" ht="15.75">
      <c r="B103" s="172" t="s">
        <v>21</v>
      </c>
      <c r="C103" s="167">
        <f>COUNTIFS('1. All Data'!$AA$3:$AA$134,"Standing up for our communities",'1. All Data'!$H$3:$H$134,"update not provided")</f>
        <v>0</v>
      </c>
      <c r="D103" s="173">
        <f>C103/C106</f>
        <v>0</v>
      </c>
      <c r="E103" s="173">
        <f>D103</f>
        <v>0</v>
      </c>
      <c r="F103" s="174"/>
      <c r="G103" s="2"/>
      <c r="I103" s="172" t="s">
        <v>21</v>
      </c>
      <c r="J103" s="167">
        <f>COUNTIFS('1. All Data'!$AA$3:$AA$134,"Standing up for our communities",'1. All Data'!$M$3:$M$134,"update not provided")</f>
        <v>0</v>
      </c>
      <c r="K103" s="173">
        <f>J103/J106</f>
        <v>0</v>
      </c>
      <c r="L103" s="173">
        <f>K103</f>
        <v>0</v>
      </c>
      <c r="M103" s="174"/>
      <c r="N103" s="2"/>
      <c r="P103" s="172" t="s">
        <v>21</v>
      </c>
      <c r="Q103" s="167">
        <f>COUNTIFS('1. All Data'!$AA$3:$AA$134,"Standing up for our communities",'1. All Data'!$R$3:$R$134,"update not provided")</f>
        <v>0</v>
      </c>
      <c r="R103" s="173">
        <f>Q103/Q106</f>
        <v>0</v>
      </c>
      <c r="S103" s="173">
        <f>R103</f>
        <v>0</v>
      </c>
      <c r="T103" s="174"/>
      <c r="U103" s="2"/>
      <c r="W103" s="172" t="s">
        <v>21</v>
      </c>
      <c r="X103" s="167">
        <f>COUNTIFS('1. All Data'!$AA$3:$AA$134,"Standing up for our communities",'1. All Data'!$V$3:$V$134,"update not provided")</f>
        <v>0</v>
      </c>
      <c r="Y103" s="250">
        <f t="shared" si="11"/>
        <v>0</v>
      </c>
      <c r="Z103" s="250">
        <f>Y103</f>
        <v>0</v>
      </c>
      <c r="AA103" s="174"/>
      <c r="AB103" s="2"/>
    </row>
    <row r="104" spans="2:28" ht="15.75">
      <c r="B104" s="175" t="s">
        <v>29</v>
      </c>
      <c r="C104" s="167">
        <f>COUNTIFS('1. All Data'!$AA$3:$AA$134,"Standing up for our communities",'1. All Data'!$H$3:$H$134,"Deferred")</f>
        <v>0</v>
      </c>
      <c r="D104" s="176">
        <f>C104/C106</f>
        <v>0</v>
      </c>
      <c r="E104" s="176">
        <f>D104</f>
        <v>0</v>
      </c>
      <c r="F104" s="177"/>
      <c r="G104" s="58"/>
      <c r="I104" s="175" t="s">
        <v>29</v>
      </c>
      <c r="J104" s="167">
        <f>COUNTIFS('1. All Data'!$AA$3:$AA$134,"Standing up for our communities",'1. All Data'!$M$3:$M$134,"Deferred")</f>
        <v>0</v>
      </c>
      <c r="K104" s="176">
        <f>J104/J106</f>
        <v>0</v>
      </c>
      <c r="L104" s="176">
        <f>K104</f>
        <v>0</v>
      </c>
      <c r="M104" s="177"/>
      <c r="N104" s="58"/>
      <c r="P104" s="175" t="s">
        <v>29</v>
      </c>
      <c r="Q104" s="167">
        <f>COUNTIFS('1. All Data'!$AA$3:$AA$134,"Standing up for our communities",'1. All Data'!$R$3:$R$134,"Deferred")</f>
        <v>0</v>
      </c>
      <c r="R104" s="176">
        <f>Q104/Q106</f>
        <v>0</v>
      </c>
      <c r="S104" s="176">
        <f>R104</f>
        <v>0</v>
      </c>
      <c r="T104" s="177"/>
      <c r="U104" s="58"/>
      <c r="W104" s="175" t="s">
        <v>29</v>
      </c>
      <c r="X104" s="167">
        <f>COUNTIFS('1. All Data'!$AA$3:$AA$134,"Standing up for our communities",'1. All Data'!$V$3:$V$134,"Deferred")</f>
        <v>0</v>
      </c>
      <c r="Y104" s="250">
        <f t="shared" si="11"/>
        <v>0</v>
      </c>
      <c r="Z104" s="250">
        <f t="shared" ref="Z104:Z105" si="12">Y104</f>
        <v>0</v>
      </c>
      <c r="AA104" s="177"/>
      <c r="AB104" s="58"/>
    </row>
    <row r="105" spans="2:28" ht="15.75">
      <c r="B105" s="175" t="s">
        <v>30</v>
      </c>
      <c r="C105" s="167">
        <f>COUNTIFS('1. All Data'!$AA$3:$AA$134,"Standing up for our communities",'1. All Data'!$H$3:$H$134,"Deleted")</f>
        <v>0</v>
      </c>
      <c r="D105" s="176">
        <f>C105/C106</f>
        <v>0</v>
      </c>
      <c r="E105" s="176">
        <f>D105</f>
        <v>0</v>
      </c>
      <c r="F105" s="177"/>
      <c r="G105" s="3"/>
      <c r="I105" s="175" t="s">
        <v>30</v>
      </c>
      <c r="J105" s="167">
        <f>COUNTIFS('1. All Data'!$AA$3:$AA$134,"Standing up for our communities",'1. All Data'!$M$3:$M$134,"Deleted")</f>
        <v>0</v>
      </c>
      <c r="K105" s="176">
        <f>J105/J106</f>
        <v>0</v>
      </c>
      <c r="L105" s="176">
        <f>K105</f>
        <v>0</v>
      </c>
      <c r="M105" s="177"/>
      <c r="N105" s="3"/>
      <c r="P105" s="175" t="s">
        <v>30</v>
      </c>
      <c r="Q105" s="167">
        <f>COUNTIFS('1. All Data'!$AA$3:$AA$134,"Standing up for our communities",'1. All Data'!$R$3:$R$134,"Deleted")</f>
        <v>0</v>
      </c>
      <c r="R105" s="176">
        <f>Q105/Q106</f>
        <v>0</v>
      </c>
      <c r="S105" s="176">
        <f>R105</f>
        <v>0</v>
      </c>
      <c r="T105" s="177"/>
      <c r="U105" s="3"/>
      <c r="W105" s="175" t="s">
        <v>30</v>
      </c>
      <c r="X105" s="167">
        <f>COUNTIFS('1. All Data'!$AA$3:$AA$134,"Standing up for our communities",'1. All Data'!$V$3:$V$134,"Deleted")</f>
        <v>0</v>
      </c>
      <c r="Y105" s="250">
        <f t="shared" si="11"/>
        <v>0</v>
      </c>
      <c r="Z105" s="250">
        <f t="shared" si="12"/>
        <v>0</v>
      </c>
      <c r="AA105" s="177"/>
    </row>
    <row r="106" spans="2:28" ht="15.75">
      <c r="B106" s="193" t="s">
        <v>51</v>
      </c>
      <c r="C106" s="179">
        <f>SUM(C95:C105)</f>
        <v>5</v>
      </c>
      <c r="D106" s="177"/>
      <c r="E106" s="177"/>
      <c r="F106" s="58"/>
      <c r="G106" s="58"/>
      <c r="I106" s="193" t="s">
        <v>51</v>
      </c>
      <c r="J106" s="179">
        <f>SUM(J95:J105)</f>
        <v>5</v>
      </c>
      <c r="K106" s="177"/>
      <c r="L106" s="177"/>
      <c r="M106" s="58"/>
      <c r="N106" s="58"/>
      <c r="P106" s="193" t="s">
        <v>51</v>
      </c>
      <c r="Q106" s="179">
        <f>SUM(Q95:Q105)</f>
        <v>5</v>
      </c>
      <c r="R106" s="177"/>
      <c r="S106" s="177"/>
      <c r="T106" s="58"/>
      <c r="U106" s="58"/>
      <c r="W106" s="178" t="s">
        <v>51</v>
      </c>
      <c r="X106" s="179">
        <f>SUM(X95:X105)</f>
        <v>5</v>
      </c>
      <c r="Y106" s="177"/>
      <c r="Z106" s="177"/>
      <c r="AA106" s="58"/>
      <c r="AB106" s="58"/>
    </row>
    <row r="107" spans="2:28" ht="15.75">
      <c r="B107" s="193" t="s">
        <v>52</v>
      </c>
      <c r="C107" s="179">
        <f>C106-C105-C104-C103-C102</f>
        <v>3</v>
      </c>
      <c r="D107" s="58"/>
      <c r="E107" s="58"/>
      <c r="F107" s="58"/>
      <c r="G107" s="58"/>
      <c r="I107" s="193" t="s">
        <v>52</v>
      </c>
      <c r="J107" s="179">
        <f>J106-J105-J104-J103-J102</f>
        <v>5</v>
      </c>
      <c r="K107" s="58"/>
      <c r="L107" s="58"/>
      <c r="M107" s="58"/>
      <c r="N107" s="58"/>
      <c r="P107" s="193" t="s">
        <v>52</v>
      </c>
      <c r="Q107" s="179">
        <f>Q106-Q105-Q104-Q103-Q102</f>
        <v>5</v>
      </c>
      <c r="R107" s="58"/>
      <c r="S107" s="58"/>
      <c r="T107" s="58"/>
      <c r="U107" s="58"/>
      <c r="W107" s="178" t="s">
        <v>52</v>
      </c>
      <c r="X107" s="179">
        <f>X106-X105-X104-X103-X102</f>
        <v>5</v>
      </c>
      <c r="Y107" s="58"/>
      <c r="Z107" s="58"/>
      <c r="AA107" s="58"/>
      <c r="AB107" s="58"/>
    </row>
    <row r="109" spans="2:28" hidden="1"/>
    <row r="110" spans="2:28" hidden="1"/>
    <row r="111" spans="2:28" ht="15.75">
      <c r="B111" s="188" t="s">
        <v>412</v>
      </c>
      <c r="C111" s="189"/>
      <c r="D111" s="189"/>
      <c r="E111" s="189"/>
      <c r="F111" s="190"/>
      <c r="G111" s="191"/>
      <c r="I111" s="188" t="s">
        <v>412</v>
      </c>
      <c r="J111" s="189"/>
      <c r="K111" s="189"/>
      <c r="L111" s="189"/>
      <c r="M111" s="190"/>
      <c r="N111" s="191"/>
      <c r="P111" s="188" t="s">
        <v>412</v>
      </c>
      <c r="Q111" s="189"/>
      <c r="R111" s="189"/>
      <c r="S111" s="189"/>
      <c r="T111" s="190"/>
      <c r="U111" s="191"/>
      <c r="W111" s="188" t="s">
        <v>412</v>
      </c>
      <c r="X111" s="195"/>
      <c r="Y111" s="162"/>
      <c r="Z111" s="162"/>
      <c r="AA111" s="162"/>
      <c r="AB111" s="163"/>
    </row>
    <row r="112" spans="2:28" ht="31.5">
      <c r="B112" s="164" t="s">
        <v>42</v>
      </c>
      <c r="C112" s="164" t="s">
        <v>43</v>
      </c>
      <c r="D112" s="164" t="s">
        <v>44</v>
      </c>
      <c r="E112" s="164" t="s">
        <v>45</v>
      </c>
      <c r="F112" s="164" t="s">
        <v>46</v>
      </c>
      <c r="G112" s="164" t="s">
        <v>47</v>
      </c>
      <c r="I112" s="164" t="s">
        <v>42</v>
      </c>
      <c r="J112" s="164" t="s">
        <v>43</v>
      </c>
      <c r="K112" s="164" t="s">
        <v>44</v>
      </c>
      <c r="L112" s="164" t="s">
        <v>45</v>
      </c>
      <c r="M112" s="164" t="s">
        <v>46</v>
      </c>
      <c r="N112" s="164" t="s">
        <v>47</v>
      </c>
      <c r="P112" s="164" t="s">
        <v>42</v>
      </c>
      <c r="Q112" s="164" t="s">
        <v>43</v>
      </c>
      <c r="R112" s="164" t="s">
        <v>44</v>
      </c>
      <c r="S112" s="164" t="s">
        <v>45</v>
      </c>
      <c r="T112" s="164" t="s">
        <v>46</v>
      </c>
      <c r="U112" s="164" t="s">
        <v>47</v>
      </c>
      <c r="W112" s="164" t="s">
        <v>42</v>
      </c>
      <c r="X112" s="164" t="s">
        <v>43</v>
      </c>
      <c r="Y112" s="164" t="s">
        <v>44</v>
      </c>
      <c r="Z112" s="164" t="s">
        <v>45</v>
      </c>
      <c r="AA112" s="164" t="s">
        <v>46</v>
      </c>
      <c r="AB112" s="164" t="s">
        <v>47</v>
      </c>
    </row>
    <row r="113" spans="2:28" ht="15.6" customHeight="1">
      <c r="B113" s="227" t="s">
        <v>48</v>
      </c>
      <c r="C113" s="167">
        <f>COUNTIFS('1. All Data'!$AA$3:$AA$134,"",'1. All Data'!$H$3:$H$134,"Fully Achieved")</f>
        <v>0</v>
      </c>
      <c r="D113" s="250" t="e">
        <f>C113/C124</f>
        <v>#DIV/0!</v>
      </c>
      <c r="E113" s="413" t="e">
        <f>D113+D114</f>
        <v>#DIV/0!</v>
      </c>
      <c r="F113" s="250" t="e">
        <f>C113/C125</f>
        <v>#DIV/0!</v>
      </c>
      <c r="G113" s="415" t="e">
        <f>F113+F114</f>
        <v>#DIV/0!</v>
      </c>
      <c r="I113" s="227" t="s">
        <v>48</v>
      </c>
      <c r="J113" s="167">
        <f>COUNTIFS('1. All Data'!$AA$3:$AA$134,"",'1. All Data'!$M$3:$M$134,"Fully Achieved")</f>
        <v>0</v>
      </c>
      <c r="K113" s="250" t="e">
        <f>J113/J124</f>
        <v>#DIV/0!</v>
      </c>
      <c r="L113" s="413" t="e">
        <f>K113+K114</f>
        <v>#DIV/0!</v>
      </c>
      <c r="M113" s="250" t="e">
        <f>J113/J125</f>
        <v>#DIV/0!</v>
      </c>
      <c r="N113" s="415" t="e">
        <f>M113+M114</f>
        <v>#DIV/0!</v>
      </c>
      <c r="P113" s="227" t="s">
        <v>48</v>
      </c>
      <c r="Q113" s="167">
        <f>COUNTIFS('1. All Data'!$AA$3:$AA$134,"Other",'1. All Data'!$R$3:$R$134,"Fully Achieved")</f>
        <v>40</v>
      </c>
      <c r="R113" s="320">
        <f>Q113/Q124</f>
        <v>0.42553191489361702</v>
      </c>
      <c r="S113" s="413">
        <f>R113+R114</f>
        <v>0.87234042553191493</v>
      </c>
      <c r="T113" s="320">
        <f>Q113/Q125</f>
        <v>0.44444444444444442</v>
      </c>
      <c r="U113" s="415">
        <f>T113+T114</f>
        <v>0.91111111111111109</v>
      </c>
      <c r="W113" s="227" t="s">
        <v>48</v>
      </c>
      <c r="X113" s="167">
        <f>COUNTIFS('1. All Data'!$AA$3:$AA$134,"Other",'1. All Data'!$V$3:$V$134,"Fully Achieved")</f>
        <v>81</v>
      </c>
      <c r="Y113" s="250">
        <f>X113/X124</f>
        <v>0.86170212765957444</v>
      </c>
      <c r="Z113" s="413">
        <f>Y113+Y114</f>
        <v>0.91489361702127658</v>
      </c>
      <c r="AA113" s="250">
        <f>X113/X125</f>
        <v>0.87096774193548387</v>
      </c>
      <c r="AB113" s="415">
        <f>AA113+AA114</f>
        <v>0.92473118279569888</v>
      </c>
    </row>
    <row r="114" spans="2:28" ht="15.6" customHeight="1">
      <c r="B114" s="227" t="s">
        <v>31</v>
      </c>
      <c r="C114" s="167">
        <f>COUNTIFS('1. All Data'!$AA$3:$AA$134,"",'1. All Data'!$H$3:$H$134,"On Track to be achieved")</f>
        <v>0</v>
      </c>
      <c r="D114" s="250" t="e">
        <f>C114/C124</f>
        <v>#DIV/0!</v>
      </c>
      <c r="E114" s="413"/>
      <c r="F114" s="250" t="e">
        <f>C114/C125</f>
        <v>#DIV/0!</v>
      </c>
      <c r="G114" s="415"/>
      <c r="I114" s="227" t="s">
        <v>31</v>
      </c>
      <c r="J114" s="167">
        <f>COUNTIFS('1. All Data'!$AA$3:$AA$134,"",'1. All Data'!$M$3:$M$134,"On Track to be achieved")</f>
        <v>0</v>
      </c>
      <c r="K114" s="250" t="e">
        <f>J114/J124</f>
        <v>#DIV/0!</v>
      </c>
      <c r="L114" s="413"/>
      <c r="M114" s="250" t="e">
        <f>J114/J125</f>
        <v>#DIV/0!</v>
      </c>
      <c r="N114" s="415"/>
      <c r="P114" s="227" t="s">
        <v>31</v>
      </c>
      <c r="Q114" s="167">
        <f>COUNTIFS('1. All Data'!$AA$3:$AA$134,"Other",'1. All Data'!$R$3:$R$134,"On Track to be achieved")</f>
        <v>42</v>
      </c>
      <c r="R114" s="320">
        <f>Q114/Q124</f>
        <v>0.44680851063829785</v>
      </c>
      <c r="S114" s="413"/>
      <c r="T114" s="320">
        <f>Q114/Q125</f>
        <v>0.46666666666666667</v>
      </c>
      <c r="U114" s="415"/>
      <c r="W114" s="227" t="s">
        <v>23</v>
      </c>
      <c r="X114" s="167">
        <f>COUNTIFS('1. All Data'!$AA$3:$AA$134,"Other",'1. All Data'!$V$3:$V$134,"Numerical Outturn Within 5% Tolerance")</f>
        <v>5</v>
      </c>
      <c r="Y114" s="250">
        <f>X114/X124</f>
        <v>5.3191489361702128E-2</v>
      </c>
      <c r="Z114" s="413"/>
      <c r="AA114" s="250">
        <f>X114/X125</f>
        <v>5.3763440860215055E-2</v>
      </c>
      <c r="AB114" s="415"/>
    </row>
    <row r="115" spans="2:28" ht="15.6" customHeight="1">
      <c r="B115" s="423" t="s">
        <v>32</v>
      </c>
      <c r="C115" s="426">
        <f>COUNTIFS('1. All Data'!$AA$3:$AA$134,"",'1. All Data'!$H$3:$H$134,"In Danger of Falling Behind Target")</f>
        <v>0</v>
      </c>
      <c r="D115" s="416" t="e">
        <f>C115/C124</f>
        <v>#DIV/0!</v>
      </c>
      <c r="E115" s="416" t="e">
        <f>D115</f>
        <v>#DIV/0!</v>
      </c>
      <c r="F115" s="416" t="e">
        <f>C115/C125</f>
        <v>#DIV/0!</v>
      </c>
      <c r="G115" s="419" t="e">
        <f>F115</f>
        <v>#DIV/0!</v>
      </c>
      <c r="I115" s="423" t="s">
        <v>32</v>
      </c>
      <c r="J115" s="426">
        <f>COUNTIFS('1. All Data'!$AA$3:$AA$134,"",'1. All Data'!$M$3:$M$134,"In Danger of Falling Behind Target")</f>
        <v>0</v>
      </c>
      <c r="K115" s="416" t="e">
        <f>J115/J124</f>
        <v>#DIV/0!</v>
      </c>
      <c r="L115" s="416" t="e">
        <f>K115</f>
        <v>#DIV/0!</v>
      </c>
      <c r="M115" s="416" t="e">
        <f>J115/J125</f>
        <v>#DIV/0!</v>
      </c>
      <c r="N115" s="419" t="e">
        <f>M115</f>
        <v>#DIV/0!</v>
      </c>
      <c r="P115" s="423" t="s">
        <v>32</v>
      </c>
      <c r="Q115" s="426">
        <f>COUNTIFS('1. All Data'!$AA$3:$AA$134,"Other",'1. All Data'!$R$3:$R$134,"In Danger of Falling Behind Target")</f>
        <v>3</v>
      </c>
      <c r="R115" s="416">
        <f>Q115/Q124</f>
        <v>3.1914893617021274E-2</v>
      </c>
      <c r="S115" s="416">
        <f>R115</f>
        <v>3.1914893617021274E-2</v>
      </c>
      <c r="T115" s="416">
        <f>Q115/Q125</f>
        <v>3.3333333333333333E-2</v>
      </c>
      <c r="U115" s="419">
        <f>T115</f>
        <v>3.3333333333333333E-2</v>
      </c>
      <c r="W115" s="169" t="s">
        <v>24</v>
      </c>
      <c r="X115" s="170">
        <f>COUNTIFS('1. All Data'!$AA$3:$AA$134,"Other",'1. All Data'!$V$3:$V$134,"Numerical Outturn Within 10% Tolerance")</f>
        <v>1</v>
      </c>
      <c r="Y115" s="250">
        <f>X115/$X$34</f>
        <v>0.16666666666666666</v>
      </c>
      <c r="Z115" s="413">
        <f>SUM(Y115:Y117)</f>
        <v>0.33333333333333331</v>
      </c>
      <c r="AA115" s="250">
        <f>X115/X125</f>
        <v>1.0752688172043012E-2</v>
      </c>
      <c r="AB115" s="422">
        <f>SUM(AA115:AA117)</f>
        <v>2.1505376344086023E-2</v>
      </c>
    </row>
    <row r="116" spans="2:28" ht="15.6" customHeight="1">
      <c r="B116" s="424"/>
      <c r="C116" s="427"/>
      <c r="D116" s="417"/>
      <c r="E116" s="417"/>
      <c r="F116" s="417"/>
      <c r="G116" s="420"/>
      <c r="I116" s="424"/>
      <c r="J116" s="427"/>
      <c r="K116" s="417"/>
      <c r="L116" s="417"/>
      <c r="M116" s="417"/>
      <c r="N116" s="420"/>
      <c r="P116" s="424"/>
      <c r="Q116" s="427"/>
      <c r="R116" s="417"/>
      <c r="S116" s="417"/>
      <c r="T116" s="417"/>
      <c r="U116" s="420"/>
      <c r="W116" s="169" t="s">
        <v>25</v>
      </c>
      <c r="X116" s="170">
        <f>COUNTIFS('1. All Data'!$AA$3:$AA$134,"Other",'1. All Data'!$V$3:$V$134,"Target Partially Met")</f>
        <v>0</v>
      </c>
      <c r="Y116" s="250">
        <f>X116/$X$34</f>
        <v>0</v>
      </c>
      <c r="Z116" s="413"/>
      <c r="AA116" s="250">
        <f>X116/X125</f>
        <v>0</v>
      </c>
      <c r="AB116" s="422"/>
    </row>
    <row r="117" spans="2:28" ht="15.6" customHeight="1">
      <c r="B117" s="425"/>
      <c r="C117" s="428"/>
      <c r="D117" s="418"/>
      <c r="E117" s="418"/>
      <c r="F117" s="418"/>
      <c r="G117" s="421"/>
      <c r="I117" s="425"/>
      <c r="J117" s="428"/>
      <c r="K117" s="418"/>
      <c r="L117" s="418"/>
      <c r="M117" s="418"/>
      <c r="N117" s="421"/>
      <c r="P117" s="425"/>
      <c r="Q117" s="428"/>
      <c r="R117" s="418"/>
      <c r="S117" s="418"/>
      <c r="T117" s="418"/>
      <c r="U117" s="421"/>
      <c r="W117" s="169" t="s">
        <v>28</v>
      </c>
      <c r="X117" s="170">
        <f>COUNTIFS('1. All Data'!$AA$3:$AA$134,"Other",'1. All Data'!$V$3:$V$134,"Completion Date Within Reasonable Tolerance")</f>
        <v>1</v>
      </c>
      <c r="Y117" s="250">
        <f>X117/$X$34</f>
        <v>0.16666666666666666</v>
      </c>
      <c r="Z117" s="413"/>
      <c r="AA117" s="250">
        <f>X117/X125</f>
        <v>1.0752688172043012E-2</v>
      </c>
      <c r="AB117" s="422"/>
    </row>
    <row r="118" spans="2:28" ht="15.6" customHeight="1">
      <c r="B118" s="171" t="s">
        <v>33</v>
      </c>
      <c r="C118" s="167">
        <f>COUNTIFS('1. All Data'!$AA$3:$AA$134,"",'1. All Data'!$H$3:$H$134,"Completed Behind Schedule")</f>
        <v>0</v>
      </c>
      <c r="D118" s="250" t="e">
        <f>C118/C124</f>
        <v>#DIV/0!</v>
      </c>
      <c r="E118" s="413" t="e">
        <f>D118+D119</f>
        <v>#DIV/0!</v>
      </c>
      <c r="F118" s="250" t="e">
        <f>C118/C125</f>
        <v>#DIV/0!</v>
      </c>
      <c r="G118" s="414" t="e">
        <f>F118+F119</f>
        <v>#DIV/0!</v>
      </c>
      <c r="I118" s="171" t="s">
        <v>33</v>
      </c>
      <c r="J118" s="167">
        <f>COUNTIFS('1. All Data'!$AA$3:$AA$134,"",'1. All Data'!$M$3:$M$134,"Completed Behind Schedule")</f>
        <v>0</v>
      </c>
      <c r="K118" s="250" t="e">
        <f>J118/J124</f>
        <v>#DIV/0!</v>
      </c>
      <c r="L118" s="413" t="e">
        <f>K118+K119</f>
        <v>#DIV/0!</v>
      </c>
      <c r="M118" s="250" t="e">
        <f>J118/J125</f>
        <v>#DIV/0!</v>
      </c>
      <c r="N118" s="414" t="e">
        <f>M118+M119</f>
        <v>#DIV/0!</v>
      </c>
      <c r="P118" s="171" t="s">
        <v>33</v>
      </c>
      <c r="Q118" s="167">
        <f>COUNTIFS('1. All Data'!$AA$3:$AA$134,"Other",'1. All Data'!$R$3:$R$134,"Completed Behind Schedule")</f>
        <v>2</v>
      </c>
      <c r="R118" s="320">
        <f>Q118/Q124</f>
        <v>2.1276595744680851E-2</v>
      </c>
      <c r="S118" s="413">
        <f>R118+R119</f>
        <v>5.3191489361702121E-2</v>
      </c>
      <c r="T118" s="320">
        <f>Q118/Q125</f>
        <v>2.2222222222222223E-2</v>
      </c>
      <c r="U118" s="414">
        <f>T118+T119</f>
        <v>5.5555555555555552E-2</v>
      </c>
      <c r="W118" s="171" t="s">
        <v>27</v>
      </c>
      <c r="X118" s="167">
        <f>COUNTIFS('1. All Data'!$AA$3:$AA$134,"Other",'1. All Data'!$V$3:$V$134,"Completed Significantly After Target Deadline")</f>
        <v>1</v>
      </c>
      <c r="Y118" s="250">
        <f>X118/$X$34</f>
        <v>0.16666666666666666</v>
      </c>
      <c r="Z118" s="413">
        <f>SUM(Y118:Y119)</f>
        <v>0.83333333333333326</v>
      </c>
      <c r="AA118" s="250">
        <f>X118/X125</f>
        <v>1.0752688172043012E-2</v>
      </c>
      <c r="AB118" s="414">
        <f>AA118+AA119</f>
        <v>5.3763440860215062E-2</v>
      </c>
    </row>
    <row r="119" spans="2:28" ht="15.6" customHeight="1">
      <c r="B119" s="171" t="s">
        <v>26</v>
      </c>
      <c r="C119" s="167">
        <f>COUNTIFS('1. All Data'!$AA$3:$AA$134,"",'1. All Data'!$H$3:$H$134,"Off Target")</f>
        <v>0</v>
      </c>
      <c r="D119" s="250" t="e">
        <f>C119/C124</f>
        <v>#DIV/0!</v>
      </c>
      <c r="E119" s="413"/>
      <c r="F119" s="250" t="e">
        <f>C119/C125</f>
        <v>#DIV/0!</v>
      </c>
      <c r="G119" s="414"/>
      <c r="I119" s="171" t="s">
        <v>26</v>
      </c>
      <c r="J119" s="167">
        <f>COUNTIFS('1. All Data'!$AA$3:$AA$134,"",'1. All Data'!$M$3:$M$134,"Off Target")</f>
        <v>0</v>
      </c>
      <c r="K119" s="250" t="e">
        <f>J119/J124</f>
        <v>#DIV/0!</v>
      </c>
      <c r="L119" s="413"/>
      <c r="M119" s="250" t="e">
        <f>J119/J125</f>
        <v>#DIV/0!</v>
      </c>
      <c r="N119" s="414"/>
      <c r="P119" s="171" t="s">
        <v>26</v>
      </c>
      <c r="Q119" s="167">
        <f>COUNTIFS('1. All Data'!$AA$3:$AA$134,"Other",'1. All Data'!$R$3:$R$134,"Off Target")</f>
        <v>3</v>
      </c>
      <c r="R119" s="320">
        <f>Q119/Q124</f>
        <v>3.1914893617021274E-2</v>
      </c>
      <c r="S119" s="413"/>
      <c r="T119" s="320">
        <f>Q119/Q125</f>
        <v>3.3333333333333333E-2</v>
      </c>
      <c r="U119" s="414"/>
      <c r="W119" s="171" t="s">
        <v>26</v>
      </c>
      <c r="X119" s="167">
        <f>COUNTIFS('1. All Data'!$AA$3:$AA$134,"Other",'1. All Data'!$V$3:$V$134,"Off Target")</f>
        <v>4</v>
      </c>
      <c r="Y119" s="250">
        <f>X119/$X$34</f>
        <v>0.66666666666666663</v>
      </c>
      <c r="Z119" s="413"/>
      <c r="AA119" s="250">
        <f>X119/X125</f>
        <v>4.3010752688172046E-2</v>
      </c>
      <c r="AB119" s="414"/>
    </row>
    <row r="120" spans="2:28" ht="15.75">
      <c r="B120" s="172" t="s">
        <v>49</v>
      </c>
      <c r="C120" s="167">
        <f>COUNTIFS('1. All Data'!$AA$3:$AA$134,"",'1. All Data'!$H$3:$H$134,"Not yet due")</f>
        <v>0</v>
      </c>
      <c r="D120" s="173" t="e">
        <f>C120/C124</f>
        <v>#DIV/0!</v>
      </c>
      <c r="E120" s="173" t="e">
        <f>D120</f>
        <v>#DIV/0!</v>
      </c>
      <c r="F120" s="174"/>
      <c r="G120" s="58"/>
      <c r="I120" s="172" t="s">
        <v>49</v>
      </c>
      <c r="J120" s="167">
        <f>COUNTIFS('1. All Data'!$AA$3:$AA$134,"",'1. All Data'!$M$3:$M$134,"Not yet due")</f>
        <v>0</v>
      </c>
      <c r="K120" s="173" t="e">
        <f>J120/J124</f>
        <v>#DIV/0!</v>
      </c>
      <c r="L120" s="173" t="e">
        <f>K120</f>
        <v>#DIV/0!</v>
      </c>
      <c r="M120" s="174"/>
      <c r="N120" s="58"/>
      <c r="P120" s="172" t="s">
        <v>49</v>
      </c>
      <c r="Q120" s="167">
        <f>COUNTIFS('1. All Data'!$AA$3:$AA$134,"Other",'1. All Data'!$R$3:$R$134,"Not yet due")</f>
        <v>3</v>
      </c>
      <c r="R120" s="173">
        <f>Q120/Q124</f>
        <v>3.1914893617021274E-2</v>
      </c>
      <c r="S120" s="173">
        <f>R120</f>
        <v>3.1914893617021274E-2</v>
      </c>
      <c r="T120" s="174"/>
      <c r="U120" s="58"/>
      <c r="W120" s="172" t="s">
        <v>49</v>
      </c>
      <c r="X120" s="167">
        <f>COUNTIFS('1. All Data'!$AA$3:$AA$134,"Other",'1. All Data'!$V$3:$V$134,"Not yet due")</f>
        <v>0</v>
      </c>
      <c r="Y120" s="250">
        <f t="shared" ref="Y120:Y123" si="13">X120/$X$34</f>
        <v>0</v>
      </c>
      <c r="Z120" s="250">
        <f>Y120</f>
        <v>0</v>
      </c>
      <c r="AA120" s="174"/>
      <c r="AB120" s="58"/>
    </row>
    <row r="121" spans="2:28" ht="15.75">
      <c r="B121" s="172" t="s">
        <v>21</v>
      </c>
      <c r="C121" s="167">
        <f>COUNTIFS('1. All Data'!$AA$3:$AA$134,"",'1. All Data'!$H$3:$H$134,"update not provided")</f>
        <v>0</v>
      </c>
      <c r="D121" s="173" t="e">
        <f>C121/C124</f>
        <v>#DIV/0!</v>
      </c>
      <c r="E121" s="173" t="e">
        <f>D121</f>
        <v>#DIV/0!</v>
      </c>
      <c r="F121" s="174"/>
      <c r="G121" s="2"/>
      <c r="I121" s="172" t="s">
        <v>21</v>
      </c>
      <c r="J121" s="167">
        <f>COUNTIFS('1. All Data'!$AA$3:$AA$134,"",'1. All Data'!$M$3:$M$134,"update not provided")</f>
        <v>0</v>
      </c>
      <c r="K121" s="173" t="e">
        <f>J121/J124</f>
        <v>#DIV/0!</v>
      </c>
      <c r="L121" s="173" t="e">
        <f>K121</f>
        <v>#DIV/0!</v>
      </c>
      <c r="M121" s="174"/>
      <c r="N121" s="2"/>
      <c r="P121" s="172" t="s">
        <v>21</v>
      </c>
      <c r="Q121" s="167">
        <f>COUNTIFS('1. All Data'!$AA$3:$AA$134,"Other",'1. All Data'!$R$3:$R$134,"update not provided")</f>
        <v>0</v>
      </c>
      <c r="R121" s="173">
        <f>Q121/Q124</f>
        <v>0</v>
      </c>
      <c r="S121" s="173">
        <f>R121</f>
        <v>0</v>
      </c>
      <c r="T121" s="174"/>
      <c r="U121" s="2"/>
      <c r="W121" s="172" t="s">
        <v>21</v>
      </c>
      <c r="X121" s="167">
        <f>COUNTIFS('1. All Data'!$AA$3:$AA$134,"Other",'1. All Data'!$V$3:$V$134,"update not provided")</f>
        <v>0</v>
      </c>
      <c r="Y121" s="250">
        <f t="shared" si="13"/>
        <v>0</v>
      </c>
      <c r="Z121" s="250">
        <f>Y121</f>
        <v>0</v>
      </c>
      <c r="AA121" s="174"/>
      <c r="AB121" s="2"/>
    </row>
    <row r="122" spans="2:28" ht="15.75">
      <c r="B122" s="175" t="s">
        <v>29</v>
      </c>
      <c r="C122" s="167">
        <f>COUNTIFS('1. All Data'!$AA$3:$AA$134,"",'1. All Data'!$H$3:$H$134,"Deferred")</f>
        <v>0</v>
      </c>
      <c r="D122" s="176" t="e">
        <f>C122/C124</f>
        <v>#DIV/0!</v>
      </c>
      <c r="E122" s="176" t="e">
        <f>D122</f>
        <v>#DIV/0!</v>
      </c>
      <c r="F122" s="177"/>
      <c r="G122" s="58"/>
      <c r="I122" s="175" t="s">
        <v>29</v>
      </c>
      <c r="J122" s="167">
        <f>COUNTIFS('1. All Data'!$AA$3:$AA$134,"",'1. All Data'!$M$3:$M$134,"Deferred")</f>
        <v>0</v>
      </c>
      <c r="K122" s="176" t="e">
        <f>J122/J124</f>
        <v>#DIV/0!</v>
      </c>
      <c r="L122" s="176" t="e">
        <f>K122</f>
        <v>#DIV/0!</v>
      </c>
      <c r="M122" s="177"/>
      <c r="N122" s="58"/>
      <c r="P122" s="175" t="s">
        <v>29</v>
      </c>
      <c r="Q122" s="167">
        <f>COUNTIFS('1. All Data'!$AA$3:$AA$134,"Other",'1. All Data'!$R$3:$R$134,"Deferred")</f>
        <v>0</v>
      </c>
      <c r="R122" s="176">
        <f>Q122/Q124</f>
        <v>0</v>
      </c>
      <c r="S122" s="176">
        <f>R122</f>
        <v>0</v>
      </c>
      <c r="T122" s="177"/>
      <c r="U122" s="58"/>
      <c r="W122" s="175" t="s">
        <v>29</v>
      </c>
      <c r="X122" s="167">
        <f>COUNTIFS('1. All Data'!$AA$3:$AA$134,"Other",'1. All Data'!$V$3:$V$134,"Deferred")</f>
        <v>0</v>
      </c>
      <c r="Y122" s="250">
        <f t="shared" si="13"/>
        <v>0</v>
      </c>
      <c r="Z122" s="250">
        <f t="shared" ref="Z122:Z123" si="14">Y122</f>
        <v>0</v>
      </c>
      <c r="AA122" s="177"/>
      <c r="AB122" s="58"/>
    </row>
    <row r="123" spans="2:28" ht="15.75">
      <c r="B123" s="175" t="s">
        <v>30</v>
      </c>
      <c r="C123" s="167">
        <f>COUNTIFS('1. All Data'!$AA$3:$AA$134,"",'1. All Data'!$H$3:$H$134,"Deleted")</f>
        <v>0</v>
      </c>
      <c r="D123" s="176" t="e">
        <f>C123/C124</f>
        <v>#DIV/0!</v>
      </c>
      <c r="E123" s="176" t="e">
        <f>D123</f>
        <v>#DIV/0!</v>
      </c>
      <c r="F123" s="177"/>
      <c r="G123" s="3"/>
      <c r="I123" s="175" t="s">
        <v>30</v>
      </c>
      <c r="J123" s="167">
        <f>COUNTIFS('1. All Data'!$AA$3:$AA$134,"",'1. All Data'!$M$3:$M$134,"Deleted")</f>
        <v>0</v>
      </c>
      <c r="K123" s="176" t="e">
        <f>J123/J124</f>
        <v>#DIV/0!</v>
      </c>
      <c r="L123" s="176" t="e">
        <f>K123</f>
        <v>#DIV/0!</v>
      </c>
      <c r="M123" s="177"/>
      <c r="N123" s="3"/>
      <c r="P123" s="175" t="s">
        <v>30</v>
      </c>
      <c r="Q123" s="167">
        <f>COUNTIFS('1. All Data'!$AA$3:$AA$134,"Other",'1. All Data'!$R$3:$R$134,"Deleted")</f>
        <v>1</v>
      </c>
      <c r="R123" s="176">
        <f>Q123/Q124</f>
        <v>1.0638297872340425E-2</v>
      </c>
      <c r="S123" s="176">
        <f>R123</f>
        <v>1.0638297872340425E-2</v>
      </c>
      <c r="T123" s="177"/>
      <c r="U123" s="3"/>
      <c r="W123" s="175" t="s">
        <v>30</v>
      </c>
      <c r="X123" s="167">
        <f>COUNTIFS('1. All Data'!$AA$3:$AA$134,"Other",'1. All Data'!$V$3:$V$134,"Deleted")</f>
        <v>1</v>
      </c>
      <c r="Y123" s="250">
        <f t="shared" si="13"/>
        <v>0.16666666666666666</v>
      </c>
      <c r="Z123" s="250">
        <f t="shared" si="14"/>
        <v>0.16666666666666666</v>
      </c>
      <c r="AA123" s="177"/>
    </row>
    <row r="124" spans="2:28" ht="15.75">
      <c r="B124" s="193" t="s">
        <v>51</v>
      </c>
      <c r="C124" s="179">
        <f>SUM(C113:C123)</f>
        <v>0</v>
      </c>
      <c r="D124" s="177"/>
      <c r="E124" s="177"/>
      <c r="F124" s="58"/>
      <c r="G124" s="58"/>
      <c r="I124" s="193" t="s">
        <v>51</v>
      </c>
      <c r="J124" s="179">
        <f>SUM(J113:J123)</f>
        <v>0</v>
      </c>
      <c r="K124" s="177"/>
      <c r="L124" s="177"/>
      <c r="M124" s="58"/>
      <c r="N124" s="58"/>
      <c r="P124" s="193" t="s">
        <v>51</v>
      </c>
      <c r="Q124" s="179">
        <f>SUM(Q113:Q123)</f>
        <v>94</v>
      </c>
      <c r="R124" s="177"/>
      <c r="S124" s="177"/>
      <c r="T124" s="58"/>
      <c r="U124" s="58"/>
      <c r="W124" s="178" t="s">
        <v>51</v>
      </c>
      <c r="X124" s="179">
        <f>SUM(X113:X123)</f>
        <v>94</v>
      </c>
      <c r="Y124" s="177"/>
      <c r="Z124" s="177"/>
      <c r="AA124" s="58"/>
      <c r="AB124" s="58"/>
    </row>
    <row r="125" spans="2:28" ht="15.75">
      <c r="B125" s="193" t="s">
        <v>52</v>
      </c>
      <c r="C125" s="179">
        <f>C124-C123-C122-C121-C120</f>
        <v>0</v>
      </c>
      <c r="D125" s="58"/>
      <c r="E125" s="58"/>
      <c r="F125" s="58"/>
      <c r="G125" s="58"/>
      <c r="I125" s="193" t="s">
        <v>52</v>
      </c>
      <c r="J125" s="179">
        <f>J124-J123-J122-J121-J120</f>
        <v>0</v>
      </c>
      <c r="K125" s="58"/>
      <c r="L125" s="58"/>
      <c r="M125" s="58"/>
      <c r="N125" s="58"/>
      <c r="P125" s="193" t="s">
        <v>52</v>
      </c>
      <c r="Q125" s="179">
        <f>Q124-Q123-Q122-Q121-Q120</f>
        <v>90</v>
      </c>
      <c r="R125" s="58"/>
      <c r="S125" s="58"/>
      <c r="T125" s="58"/>
      <c r="U125" s="58"/>
      <c r="W125" s="178" t="s">
        <v>52</v>
      </c>
      <c r="X125" s="179">
        <f>X124-X123-X122-X121-X120</f>
        <v>93</v>
      </c>
      <c r="Y125" s="58"/>
      <c r="Z125" s="58"/>
      <c r="AA125" s="58"/>
      <c r="AB125" s="58"/>
    </row>
  </sheetData>
  <mergeCells count="254">
    <mergeCell ref="Z61:Z63"/>
    <mergeCell ref="AB61:AB63"/>
    <mergeCell ref="E64:E65"/>
    <mergeCell ref="G64:G65"/>
    <mergeCell ref="L64:L65"/>
    <mergeCell ref="N64:N65"/>
    <mergeCell ref="S64:S65"/>
    <mergeCell ref="U64:U65"/>
    <mergeCell ref="Z64:Z65"/>
    <mergeCell ref="AB64:AB65"/>
    <mergeCell ref="P61:P63"/>
    <mergeCell ref="Q61:Q63"/>
    <mergeCell ref="R61:R63"/>
    <mergeCell ref="S61:S63"/>
    <mergeCell ref="T61:T63"/>
    <mergeCell ref="U61:U63"/>
    <mergeCell ref="I61:I63"/>
    <mergeCell ref="J61:J63"/>
    <mergeCell ref="K61:K63"/>
    <mergeCell ref="L61:L63"/>
    <mergeCell ref="Z46:Z47"/>
    <mergeCell ref="AB46:AB47"/>
    <mergeCell ref="E59:E60"/>
    <mergeCell ref="G59:G60"/>
    <mergeCell ref="L59:L60"/>
    <mergeCell ref="N59:N60"/>
    <mergeCell ref="S59:S60"/>
    <mergeCell ref="U59:U60"/>
    <mergeCell ref="Z59:Z60"/>
    <mergeCell ref="AB59:AB60"/>
    <mergeCell ref="E46:E47"/>
    <mergeCell ref="G46:G47"/>
    <mergeCell ref="L46:L47"/>
    <mergeCell ref="N46:N47"/>
    <mergeCell ref="S46:S47"/>
    <mergeCell ref="U46:U47"/>
    <mergeCell ref="M43:M45"/>
    <mergeCell ref="N43:N45"/>
    <mergeCell ref="P43:P45"/>
    <mergeCell ref="Q43:Q45"/>
    <mergeCell ref="B61:B63"/>
    <mergeCell ref="C61:C63"/>
    <mergeCell ref="D61:D63"/>
    <mergeCell ref="E61:E63"/>
    <mergeCell ref="F61:F63"/>
    <mergeCell ref="G61:G63"/>
    <mergeCell ref="M61:M63"/>
    <mergeCell ref="N61:N63"/>
    <mergeCell ref="Z41:Z42"/>
    <mergeCell ref="AB41:AB42"/>
    <mergeCell ref="B43:B45"/>
    <mergeCell ref="C43:C45"/>
    <mergeCell ref="D43:D45"/>
    <mergeCell ref="E43:E45"/>
    <mergeCell ref="F43:F45"/>
    <mergeCell ref="G43:G45"/>
    <mergeCell ref="I43:I45"/>
    <mergeCell ref="J43:J45"/>
    <mergeCell ref="E41:E42"/>
    <mergeCell ref="G41:G42"/>
    <mergeCell ref="L41:L42"/>
    <mergeCell ref="N41:N42"/>
    <mergeCell ref="S41:S42"/>
    <mergeCell ref="U41:U42"/>
    <mergeCell ref="R43:R45"/>
    <mergeCell ref="S43:S45"/>
    <mergeCell ref="T43:T45"/>
    <mergeCell ref="U43:U45"/>
    <mergeCell ref="Z43:Z45"/>
    <mergeCell ref="AB43:AB45"/>
    <mergeCell ref="K43:K45"/>
    <mergeCell ref="L43:L45"/>
    <mergeCell ref="Z25:Z27"/>
    <mergeCell ref="AB25:AB27"/>
    <mergeCell ref="E28:E29"/>
    <mergeCell ref="G28:G29"/>
    <mergeCell ref="L28:L29"/>
    <mergeCell ref="N28:N29"/>
    <mergeCell ref="S28:S29"/>
    <mergeCell ref="U28:U29"/>
    <mergeCell ref="Z28:Z29"/>
    <mergeCell ref="AB28:AB29"/>
    <mergeCell ref="P25:P27"/>
    <mergeCell ref="Q25:Q27"/>
    <mergeCell ref="R25:R27"/>
    <mergeCell ref="S25:S27"/>
    <mergeCell ref="T25:T27"/>
    <mergeCell ref="U25:U27"/>
    <mergeCell ref="I25:I27"/>
    <mergeCell ref="J25:J27"/>
    <mergeCell ref="K25:K27"/>
    <mergeCell ref="L25:L27"/>
    <mergeCell ref="M25:M27"/>
    <mergeCell ref="N25:N27"/>
    <mergeCell ref="Z10:Z11"/>
    <mergeCell ref="AB10:AB11"/>
    <mergeCell ref="E23:E24"/>
    <mergeCell ref="G23:G24"/>
    <mergeCell ref="L23:L24"/>
    <mergeCell ref="N23:N24"/>
    <mergeCell ref="S23:S24"/>
    <mergeCell ref="U23:U24"/>
    <mergeCell ref="Z23:Z24"/>
    <mergeCell ref="AB23:AB24"/>
    <mergeCell ref="E10:E11"/>
    <mergeCell ref="G10:G11"/>
    <mergeCell ref="L10:L11"/>
    <mergeCell ref="N10:N11"/>
    <mergeCell ref="S10:S11"/>
    <mergeCell ref="U10:U11"/>
    <mergeCell ref="K7:K9"/>
    <mergeCell ref="L7:L9"/>
    <mergeCell ref="M7:M9"/>
    <mergeCell ref="N7:N9"/>
    <mergeCell ref="P7:P9"/>
    <mergeCell ref="Q7:Q9"/>
    <mergeCell ref="B25:B27"/>
    <mergeCell ref="C25:C27"/>
    <mergeCell ref="D25:D27"/>
    <mergeCell ref="E25:E27"/>
    <mergeCell ref="F25:F27"/>
    <mergeCell ref="G25:G27"/>
    <mergeCell ref="AD7:AD11"/>
    <mergeCell ref="AD5:AD6"/>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E77:E78"/>
    <mergeCell ref="G77:G78"/>
    <mergeCell ref="B79:B81"/>
    <mergeCell ref="C79:C81"/>
    <mergeCell ref="D79:D81"/>
    <mergeCell ref="E79:E81"/>
    <mergeCell ref="F79:F81"/>
    <mergeCell ref="G79:G81"/>
    <mergeCell ref="E82:E83"/>
    <mergeCell ref="G82:G83"/>
    <mergeCell ref="E95:E96"/>
    <mergeCell ref="G95:G96"/>
    <mergeCell ref="B97:B99"/>
    <mergeCell ref="C97:C99"/>
    <mergeCell ref="D97:D99"/>
    <mergeCell ref="E97:E99"/>
    <mergeCell ref="F97:F99"/>
    <mergeCell ref="G97:G99"/>
    <mergeCell ref="E100:E101"/>
    <mergeCell ref="G100:G101"/>
    <mergeCell ref="E113:E114"/>
    <mergeCell ref="G113:G114"/>
    <mergeCell ref="B115:B117"/>
    <mergeCell ref="C115:C117"/>
    <mergeCell ref="D115:D117"/>
    <mergeCell ref="E115:E117"/>
    <mergeCell ref="F115:F117"/>
    <mergeCell ref="G115:G117"/>
    <mergeCell ref="E118:E119"/>
    <mergeCell ref="G118:G119"/>
    <mergeCell ref="L77:L78"/>
    <mergeCell ref="N77:N78"/>
    <mergeCell ref="S77:S78"/>
    <mergeCell ref="U77:U78"/>
    <mergeCell ref="Z77:Z78"/>
    <mergeCell ref="AB77:AB78"/>
    <mergeCell ref="I79:I81"/>
    <mergeCell ref="J79:J81"/>
    <mergeCell ref="K79:K81"/>
    <mergeCell ref="L79:L81"/>
    <mergeCell ref="M79:M81"/>
    <mergeCell ref="N79:N81"/>
    <mergeCell ref="P79:P81"/>
    <mergeCell ref="Q79:Q81"/>
    <mergeCell ref="R79:R81"/>
    <mergeCell ref="S79:S81"/>
    <mergeCell ref="T79:T81"/>
    <mergeCell ref="U79:U81"/>
    <mergeCell ref="Z79:Z81"/>
    <mergeCell ref="AB79:AB81"/>
    <mergeCell ref="L82:L83"/>
    <mergeCell ref="N82:N83"/>
    <mergeCell ref="S82:S83"/>
    <mergeCell ref="U82:U83"/>
    <mergeCell ref="Z82:Z83"/>
    <mergeCell ref="AB82:AB83"/>
    <mergeCell ref="L95:L96"/>
    <mergeCell ref="N95:N96"/>
    <mergeCell ref="S95:S96"/>
    <mergeCell ref="U95:U96"/>
    <mergeCell ref="Z95:Z96"/>
    <mergeCell ref="AB95:AB96"/>
    <mergeCell ref="I97:I99"/>
    <mergeCell ref="J97:J99"/>
    <mergeCell ref="K97:K99"/>
    <mergeCell ref="L97:L99"/>
    <mergeCell ref="M97:M99"/>
    <mergeCell ref="N97:N99"/>
    <mergeCell ref="P97:P99"/>
    <mergeCell ref="Q97:Q99"/>
    <mergeCell ref="R97:R99"/>
    <mergeCell ref="S97:S99"/>
    <mergeCell ref="T97:T99"/>
    <mergeCell ref="U97:U99"/>
    <mergeCell ref="Z97:Z99"/>
    <mergeCell ref="AB97:AB99"/>
    <mergeCell ref="L100:L101"/>
    <mergeCell ref="N100:N101"/>
    <mergeCell ref="S100:S101"/>
    <mergeCell ref="U100:U101"/>
    <mergeCell ref="Z100:Z101"/>
    <mergeCell ref="AB100:AB101"/>
    <mergeCell ref="I115:I117"/>
    <mergeCell ref="J115:J117"/>
    <mergeCell ref="K115:K117"/>
    <mergeCell ref="L115:L117"/>
    <mergeCell ref="M115:M117"/>
    <mergeCell ref="N115:N117"/>
    <mergeCell ref="P115:P117"/>
    <mergeCell ref="Q115:Q117"/>
    <mergeCell ref="R115:R117"/>
    <mergeCell ref="L118:L119"/>
    <mergeCell ref="N118:N119"/>
    <mergeCell ref="S118:S119"/>
    <mergeCell ref="U118:U119"/>
    <mergeCell ref="Z118:Z119"/>
    <mergeCell ref="AB118:AB119"/>
    <mergeCell ref="L113:L114"/>
    <mergeCell ref="N113:N114"/>
    <mergeCell ref="S113:S114"/>
    <mergeCell ref="U113:U114"/>
    <mergeCell ref="Z113:Z114"/>
    <mergeCell ref="AB113:AB114"/>
    <mergeCell ref="S115:S117"/>
    <mergeCell ref="T115:T117"/>
    <mergeCell ref="U115:U117"/>
    <mergeCell ref="Z115:Z117"/>
    <mergeCell ref="AB115:AB117"/>
  </mergeCells>
  <pageMargins left="0.25" right="0.25" top="0.75" bottom="0.75" header="0.3" footer="0.3"/>
  <pageSetup paperSize="8" fitToHeight="0" orientation="portrait" verticalDpi="0" r:id="rId1"/>
  <rowBreaks count="2" manualBreakCount="2">
    <brk id="53" max="6" man="1"/>
    <brk id="108" max="6" man="1"/>
  </rowBreaks>
  <ignoredErrors>
    <ignoredError sqref="F10 F7 F5"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L88"/>
  <sheetViews>
    <sheetView workbookViewId="0">
      <selection activeCell="K20" sqref="K20"/>
    </sheetView>
  </sheetViews>
  <sheetFormatPr defaultColWidth="9.28515625" defaultRowHeight="15"/>
  <cols>
    <col min="1" max="1" width="3.42578125" style="8" customWidth="1"/>
    <col min="2" max="9" width="9.28515625" style="8"/>
    <col min="10" max="10" width="3.42578125" style="8" customWidth="1"/>
    <col min="11" max="11" width="9.28515625" style="9"/>
    <col min="12" max="18" width="9.28515625" style="8"/>
    <col min="19" max="19" width="3.42578125" style="8" customWidth="1"/>
    <col min="20" max="27" width="9.28515625" style="8" customWidth="1"/>
    <col min="28" max="28" width="3.42578125" style="8" customWidth="1"/>
    <col min="29" max="36" width="9.28515625" style="8" customWidth="1"/>
    <col min="37" max="37" width="3.42578125" style="8" customWidth="1"/>
    <col min="38" max="47" width="9.28515625" style="8" customWidth="1"/>
    <col min="48" max="50" width="0" style="8" hidden="1" customWidth="1"/>
    <col min="51" max="51" width="9.28515625" style="8"/>
    <col min="52" max="55" width="10" style="11" customWidth="1"/>
    <col min="56" max="16384" width="9.28515625" style="8"/>
  </cols>
  <sheetData>
    <row r="1" spans="2:64" s="6" customFormat="1" ht="35.25">
      <c r="B1" s="5" t="s">
        <v>53</v>
      </c>
      <c r="M1" s="434"/>
      <c r="N1" s="434"/>
      <c r="O1" s="434"/>
      <c r="P1" s="434"/>
      <c r="Q1" s="434"/>
      <c r="R1" s="434"/>
      <c r="S1" s="434"/>
      <c r="T1" s="434"/>
      <c r="U1" s="434"/>
      <c r="V1" s="434"/>
      <c r="W1" s="434"/>
      <c r="X1" s="434"/>
      <c r="Y1" s="434"/>
      <c r="Z1" s="434"/>
      <c r="AY1" s="434"/>
      <c r="AZ1" s="434"/>
      <c r="BA1" s="434"/>
      <c r="BB1" s="434"/>
      <c r="BC1" s="434"/>
      <c r="BD1" s="434"/>
      <c r="BE1" s="434"/>
      <c r="BF1" s="434"/>
      <c r="BG1" s="434"/>
      <c r="BH1" s="434"/>
      <c r="BI1" s="434"/>
      <c r="BJ1" s="434"/>
      <c r="BK1" s="434"/>
      <c r="BL1" s="434"/>
    </row>
    <row r="2" spans="2:64" s="6" customFormat="1" ht="35.25" hidden="1">
      <c r="B2" s="7"/>
      <c r="M2" s="434"/>
      <c r="N2" s="434"/>
      <c r="O2" s="434"/>
      <c r="P2" s="434"/>
      <c r="Q2" s="434"/>
      <c r="R2" s="434"/>
      <c r="S2" s="434"/>
      <c r="T2" s="434"/>
      <c r="U2" s="434"/>
      <c r="V2" s="434"/>
      <c r="W2" s="434"/>
      <c r="X2" s="434"/>
      <c r="Y2" s="434"/>
      <c r="Z2" s="434"/>
      <c r="AY2" s="434"/>
      <c r="AZ2" s="434"/>
      <c r="BA2" s="434"/>
      <c r="BB2" s="434"/>
      <c r="BC2" s="434"/>
      <c r="BD2" s="434"/>
      <c r="BE2" s="434"/>
      <c r="BF2" s="434"/>
      <c r="BG2" s="434"/>
      <c r="BH2" s="434"/>
      <c r="BI2" s="434"/>
      <c r="BJ2" s="434"/>
      <c r="BK2" s="434"/>
      <c r="BL2" s="434"/>
    </row>
    <row r="3" spans="2:64" s="6" customFormat="1" ht="35.25" hidden="1">
      <c r="M3" s="434"/>
      <c r="N3" s="434"/>
      <c r="O3" s="434"/>
      <c r="P3" s="434"/>
      <c r="Q3" s="434"/>
      <c r="R3" s="434"/>
      <c r="S3" s="434"/>
      <c r="T3" s="434"/>
      <c r="U3" s="434"/>
      <c r="V3" s="434"/>
      <c r="W3" s="434"/>
      <c r="X3" s="434"/>
      <c r="Y3" s="434"/>
      <c r="Z3" s="434"/>
      <c r="AY3" s="434"/>
      <c r="AZ3" s="434"/>
      <c r="BA3" s="434"/>
      <c r="BB3" s="434"/>
      <c r="BC3" s="434"/>
      <c r="BD3" s="434"/>
      <c r="BE3" s="434"/>
      <c r="BF3" s="434"/>
      <c r="BG3" s="434"/>
      <c r="BH3" s="434"/>
      <c r="BI3" s="434"/>
      <c r="BJ3" s="434"/>
      <c r="BK3" s="434"/>
      <c r="BL3" s="434"/>
    </row>
    <row r="4" spans="2:64">
      <c r="N4" s="10"/>
      <c r="W4" s="10"/>
      <c r="AF4" s="10"/>
      <c r="AO4" s="10"/>
    </row>
    <row r="5" spans="2:64">
      <c r="AY5" s="16" t="s">
        <v>54</v>
      </c>
      <c r="AZ5" s="17"/>
      <c r="BA5" s="17"/>
      <c r="BB5" s="17"/>
      <c r="BC5" s="17"/>
      <c r="BD5" s="9"/>
    </row>
    <row r="6" spans="2:64">
      <c r="AY6" s="18"/>
      <c r="AZ6" s="19" t="s">
        <v>13</v>
      </c>
      <c r="BA6" s="19" t="s">
        <v>14</v>
      </c>
      <c r="BB6" s="19" t="s">
        <v>15</v>
      </c>
      <c r="BC6" s="19" t="s">
        <v>12</v>
      </c>
      <c r="BD6" s="9"/>
    </row>
    <row r="7" spans="2:64">
      <c r="AY7" s="20" t="s">
        <v>55</v>
      </c>
      <c r="AZ7" s="21">
        <f>'2a. % By Priority'!G5</f>
        <v>0.93258426966292141</v>
      </c>
      <c r="BA7" s="21">
        <f>'2a. % By Priority'!N5</f>
        <v>0.94214876033057848</v>
      </c>
      <c r="BB7" s="21">
        <f>'2a. % By Priority'!U5</f>
        <v>0.93650793650793651</v>
      </c>
      <c r="BC7" s="21">
        <f>'2a. % By Priority'!AB5</f>
        <v>0.93846153846153846</v>
      </c>
      <c r="BD7" s="9"/>
    </row>
    <row r="8" spans="2:64">
      <c r="L8" s="13"/>
      <c r="M8" s="13"/>
      <c r="AY8" s="20" t="s">
        <v>56</v>
      </c>
      <c r="AZ8" s="21">
        <f>'2a. % By Priority'!G7</f>
        <v>6.741573033707865E-2</v>
      </c>
      <c r="BA8" s="21">
        <f>'2a. % By Priority'!N7</f>
        <v>1.6528925619834711E-2</v>
      </c>
      <c r="BB8" s="21">
        <f>'2a. % By Priority'!U7</f>
        <v>2.3809523809523808E-2</v>
      </c>
      <c r="BC8" s="21">
        <f>'2a. % By Priority'!AB7</f>
        <v>1.5384615384615385E-2</v>
      </c>
      <c r="BD8" s="9"/>
    </row>
    <row r="9" spans="2:64">
      <c r="L9" s="13"/>
      <c r="M9" s="13"/>
      <c r="AY9" s="20" t="s">
        <v>57</v>
      </c>
      <c r="AZ9" s="21">
        <f>'2a. % By Priority'!G10</f>
        <v>0</v>
      </c>
      <c r="BA9" s="21">
        <f>'2a. % By Priority'!N10</f>
        <v>4.1322314049586778E-2</v>
      </c>
      <c r="BB9" s="21">
        <f>'2a. % By Priority'!U10</f>
        <v>3.968253968253968E-2</v>
      </c>
      <c r="BC9" s="21">
        <f>'2a. % By Priority'!AB10</f>
        <v>4.6153846153846156E-2</v>
      </c>
      <c r="BD9" s="9"/>
    </row>
    <row r="10" spans="2:64">
      <c r="L10" s="13"/>
      <c r="M10" s="13"/>
      <c r="AY10" s="18"/>
      <c r="AZ10" s="22"/>
      <c r="BA10" s="22"/>
      <c r="BB10" s="22"/>
      <c r="BC10" s="22"/>
      <c r="BD10" s="9"/>
    </row>
    <row r="11" spans="2:64">
      <c r="AY11" s="23"/>
      <c r="AZ11" s="24"/>
      <c r="BA11" s="24"/>
      <c r="BB11" s="25"/>
      <c r="BC11" s="25"/>
      <c r="BD11" s="9"/>
    </row>
    <row r="12" spans="2:64">
      <c r="AY12" s="23"/>
      <c r="AZ12" s="24"/>
      <c r="BA12" s="24"/>
      <c r="BB12" s="25"/>
      <c r="BC12" s="25"/>
      <c r="BD12" s="9"/>
    </row>
    <row r="13" spans="2:64">
      <c r="AY13" s="23"/>
      <c r="AZ13" s="24"/>
      <c r="BA13" s="24"/>
      <c r="BB13" s="25"/>
      <c r="BC13" s="25"/>
      <c r="BD13" s="9"/>
    </row>
    <row r="14" spans="2:64">
      <c r="AY14" s="26"/>
      <c r="AZ14" s="17"/>
      <c r="BA14" s="17"/>
      <c r="BB14" s="17"/>
      <c r="BC14" s="17"/>
      <c r="BD14" s="9"/>
    </row>
    <row r="15" spans="2:64">
      <c r="AY15" s="26"/>
      <c r="AZ15" s="17"/>
      <c r="BA15" s="17"/>
      <c r="BB15" s="17"/>
      <c r="BC15" s="17"/>
      <c r="BD15" s="9"/>
    </row>
    <row r="16" spans="2:64">
      <c r="AY16" s="26"/>
      <c r="AZ16" s="17"/>
      <c r="BA16" s="17"/>
      <c r="BB16" s="17"/>
      <c r="BC16" s="17"/>
      <c r="BD16" s="9"/>
    </row>
    <row r="17" spans="12:56">
      <c r="AY17" s="26"/>
      <c r="AZ17" s="17"/>
      <c r="BA17" s="17"/>
      <c r="BB17" s="17"/>
      <c r="BC17" s="17"/>
      <c r="BD17" s="9"/>
    </row>
    <row r="18" spans="12:56">
      <c r="AY18" s="26"/>
      <c r="AZ18" s="17"/>
      <c r="BA18" s="17"/>
      <c r="BB18" s="17"/>
      <c r="BC18" s="17"/>
      <c r="BD18" s="9"/>
    </row>
    <row r="19" spans="12:56">
      <c r="AY19" s="26"/>
      <c r="AZ19" s="17"/>
      <c r="BA19" s="17"/>
      <c r="BB19" s="17"/>
      <c r="BC19" s="17"/>
      <c r="BD19" s="9"/>
    </row>
    <row r="20" spans="12:56">
      <c r="N20" s="10"/>
      <c r="W20" s="10"/>
      <c r="AF20" s="10"/>
      <c r="AO20" s="10"/>
      <c r="AY20" s="26"/>
      <c r="AZ20" s="17"/>
      <c r="BA20" s="17"/>
      <c r="BB20" s="17"/>
      <c r="BC20" s="17"/>
      <c r="BD20" s="9"/>
    </row>
    <row r="21" spans="12:56">
      <c r="AY21" s="16" t="s">
        <v>411</v>
      </c>
      <c r="AZ21" s="17"/>
      <c r="BA21" s="17"/>
      <c r="BB21" s="17"/>
      <c r="BC21" s="17"/>
      <c r="BD21" s="9"/>
    </row>
    <row r="22" spans="12:56">
      <c r="AY22" s="18"/>
      <c r="AZ22" s="19" t="s">
        <v>13</v>
      </c>
      <c r="BA22" s="19" t="s">
        <v>14</v>
      </c>
      <c r="BB22" s="19" t="s">
        <v>15</v>
      </c>
      <c r="BC22" s="19" t="s">
        <v>12</v>
      </c>
      <c r="BD22" s="9"/>
    </row>
    <row r="23" spans="12:56">
      <c r="AY23" s="20" t="s">
        <v>55</v>
      </c>
      <c r="AZ23" s="21">
        <f>'2a. % By Priority'!G23</f>
        <v>1</v>
      </c>
      <c r="BA23" s="21">
        <f>'2a. % By Priority'!N23</f>
        <v>1</v>
      </c>
      <c r="BB23" s="21">
        <f>'2a. % By Priority'!U23</f>
        <v>1</v>
      </c>
      <c r="BC23" s="21">
        <f>'2a. % By Priority'!AB23</f>
        <v>1</v>
      </c>
      <c r="BD23" s="9"/>
    </row>
    <row r="24" spans="12:56">
      <c r="L24" s="13"/>
      <c r="M24" s="13"/>
      <c r="AY24" s="20" t="s">
        <v>56</v>
      </c>
      <c r="AZ24" s="21">
        <f>'2a. % By Priority'!G25</f>
        <v>0</v>
      </c>
      <c r="BA24" s="21">
        <f>'2a. % By Priority'!N25</f>
        <v>0</v>
      </c>
      <c r="BB24" s="21">
        <f>'2a. % By Priority'!U25</f>
        <v>0</v>
      </c>
      <c r="BC24" s="21">
        <f>'2a. % By Priority'!AB25</f>
        <v>0</v>
      </c>
      <c r="BD24" s="9"/>
    </row>
    <row r="25" spans="12:56">
      <c r="L25" s="13"/>
      <c r="M25" s="13"/>
      <c r="AY25" s="20" t="s">
        <v>57</v>
      </c>
      <c r="AZ25" s="21">
        <f>'2a. % By Priority'!G28</f>
        <v>0</v>
      </c>
      <c r="BA25" s="21">
        <f>'2a. % By Priority'!N28</f>
        <v>0</v>
      </c>
      <c r="BB25" s="21">
        <f>'2a. % By Priority'!U28</f>
        <v>0</v>
      </c>
      <c r="BC25" s="21">
        <f>'2a. % By Priority'!AB28</f>
        <v>0</v>
      </c>
      <c r="BD25" s="9"/>
    </row>
    <row r="26" spans="12:56">
      <c r="L26" s="13"/>
      <c r="M26" s="13"/>
      <c r="AY26" s="26"/>
      <c r="AZ26" s="17"/>
      <c r="BA26" s="17"/>
      <c r="BB26" s="17"/>
      <c r="BC26" s="17"/>
      <c r="BD26" s="9"/>
    </row>
    <row r="27" spans="12:56">
      <c r="AY27" s="23"/>
      <c r="AZ27" s="17"/>
      <c r="BA27" s="17"/>
      <c r="BB27" s="17"/>
      <c r="BC27" s="17"/>
      <c r="BD27" s="9"/>
    </row>
    <row r="28" spans="12:56">
      <c r="AY28" s="23"/>
      <c r="AZ28" s="17"/>
      <c r="BA28" s="17"/>
      <c r="BB28" s="17"/>
      <c r="BC28" s="17"/>
      <c r="BD28" s="9"/>
    </row>
    <row r="29" spans="12:56">
      <c r="AY29" s="23"/>
      <c r="AZ29" s="17"/>
      <c r="BA29" s="17"/>
      <c r="BB29" s="17"/>
      <c r="BC29" s="17"/>
      <c r="BD29" s="9"/>
    </row>
    <row r="30" spans="12:56">
      <c r="AY30" s="26"/>
      <c r="AZ30" s="17"/>
      <c r="BA30" s="17"/>
      <c r="BB30" s="17"/>
      <c r="BC30" s="17"/>
      <c r="BD30" s="9"/>
    </row>
    <row r="31" spans="12:56">
      <c r="AY31" s="26"/>
      <c r="AZ31" s="17"/>
      <c r="BA31" s="17"/>
      <c r="BB31" s="17"/>
      <c r="BC31" s="17"/>
      <c r="BD31" s="9"/>
    </row>
    <row r="32" spans="12:56">
      <c r="AY32" s="26"/>
      <c r="AZ32" s="17"/>
      <c r="BA32" s="17"/>
      <c r="BB32" s="17"/>
      <c r="BC32" s="17"/>
      <c r="BD32" s="9"/>
    </row>
    <row r="33" spans="11:56">
      <c r="AY33" s="26"/>
      <c r="AZ33" s="17"/>
      <c r="BA33" s="17"/>
      <c r="BB33" s="17"/>
      <c r="BC33" s="17"/>
      <c r="BD33" s="9"/>
    </row>
    <row r="34" spans="11:56">
      <c r="AY34" s="26"/>
      <c r="AZ34" s="17"/>
      <c r="BA34" s="17"/>
      <c r="BB34" s="17"/>
      <c r="BC34" s="17"/>
      <c r="BD34" s="9"/>
    </row>
    <row r="35" spans="11:56">
      <c r="AY35" s="26"/>
      <c r="AZ35" s="17"/>
      <c r="BA35" s="17"/>
      <c r="BB35" s="17"/>
      <c r="BC35" s="17"/>
      <c r="BD35" s="9"/>
    </row>
    <row r="36" spans="11:56">
      <c r="N36" s="10"/>
      <c r="W36" s="10"/>
      <c r="AF36" s="10"/>
      <c r="AO36" s="10"/>
      <c r="AY36" s="26"/>
      <c r="AZ36" s="17"/>
      <c r="BA36" s="17"/>
      <c r="BB36" s="17"/>
      <c r="BC36" s="17"/>
      <c r="BD36" s="9"/>
    </row>
    <row r="37" spans="11:56">
      <c r="AY37" s="16" t="s">
        <v>404</v>
      </c>
      <c r="AZ37" s="27"/>
      <c r="BA37" s="27"/>
      <c r="BB37" s="27"/>
      <c r="BC37" s="27"/>
      <c r="BD37" s="15"/>
    </row>
    <row r="38" spans="11:56">
      <c r="AY38" s="28"/>
      <c r="AZ38" s="19" t="s">
        <v>13</v>
      </c>
      <c r="BA38" s="19" t="s">
        <v>14</v>
      </c>
      <c r="BB38" s="19" t="s">
        <v>15</v>
      </c>
      <c r="BC38" s="19" t="s">
        <v>12</v>
      </c>
      <c r="BD38" s="15"/>
    </row>
    <row r="39" spans="11:56">
      <c r="AY39" s="20" t="s">
        <v>55</v>
      </c>
      <c r="AZ39" s="21">
        <f>'2a. % By Priority'!G41</f>
        <v>1</v>
      </c>
      <c r="BA39" s="21">
        <f>'2a. % By Priority'!N41</f>
        <v>1</v>
      </c>
      <c r="BB39" s="21">
        <f>'2a. % By Priority'!U41</f>
        <v>1</v>
      </c>
      <c r="BC39" s="21">
        <f>'2a. % By Priority'!AB41</f>
        <v>1</v>
      </c>
      <c r="BD39" s="15"/>
    </row>
    <row r="40" spans="11:56">
      <c r="K40" s="13"/>
      <c r="L40" s="13"/>
      <c r="AY40" s="20" t="s">
        <v>56</v>
      </c>
      <c r="AZ40" s="21">
        <f>'2a. % By Priority'!G43</f>
        <v>0</v>
      </c>
      <c r="BA40" s="21">
        <f>'2a. % By Priority'!N43</f>
        <v>0</v>
      </c>
      <c r="BB40" s="21">
        <f>'2a. % By Priority'!U43</f>
        <v>0</v>
      </c>
      <c r="BC40" s="21">
        <f>'2a. % By Priority'!AB43</f>
        <v>0</v>
      </c>
      <c r="BD40" s="15"/>
    </row>
    <row r="41" spans="11:56">
      <c r="K41" s="13"/>
      <c r="L41" s="13"/>
      <c r="AY41" s="20" t="s">
        <v>57</v>
      </c>
      <c r="AZ41" s="21">
        <f>'2a. % By Priority'!G46</f>
        <v>0</v>
      </c>
      <c r="BA41" s="21">
        <f>'2a. % By Priority'!N46</f>
        <v>0</v>
      </c>
      <c r="BB41" s="21">
        <f>'2a. % By Priority'!U46</f>
        <v>0</v>
      </c>
      <c r="BC41" s="21">
        <f>'2a. % By Priority'!AB46</f>
        <v>0</v>
      </c>
      <c r="BD41" s="15"/>
    </row>
    <row r="42" spans="11:56">
      <c r="K42" s="13"/>
      <c r="L42" s="13"/>
      <c r="AY42" s="26"/>
      <c r="AZ42" s="17"/>
      <c r="BA42" s="17"/>
      <c r="BB42" s="17"/>
      <c r="BC42" s="17"/>
      <c r="BD42" s="9"/>
    </row>
    <row r="43" spans="11:56">
      <c r="AY43" s="23"/>
      <c r="AZ43" s="17"/>
      <c r="BA43" s="17"/>
      <c r="BB43" s="17"/>
      <c r="BC43" s="17"/>
      <c r="BD43" s="9"/>
    </row>
    <row r="44" spans="11:56">
      <c r="AY44" s="23"/>
      <c r="AZ44" s="17"/>
      <c r="BA44" s="17"/>
      <c r="BB44" s="17"/>
      <c r="BC44" s="17"/>
      <c r="BD44" s="9"/>
    </row>
    <row r="45" spans="11:56">
      <c r="AY45" s="23"/>
      <c r="AZ45" s="17"/>
      <c r="BA45" s="17"/>
      <c r="BB45" s="17"/>
      <c r="BC45" s="17"/>
      <c r="BD45" s="9"/>
    </row>
    <row r="46" spans="11:56">
      <c r="AY46" s="26"/>
      <c r="AZ46" s="17"/>
      <c r="BA46" s="17"/>
      <c r="BB46" s="17"/>
      <c r="BC46" s="17"/>
      <c r="BD46" s="9"/>
    </row>
    <row r="47" spans="11:56">
      <c r="AY47" s="26"/>
      <c r="AZ47" s="17"/>
      <c r="BA47" s="17"/>
      <c r="BB47" s="17"/>
      <c r="BC47" s="17"/>
      <c r="BD47" s="9"/>
    </row>
    <row r="48" spans="11:56">
      <c r="AY48" s="26"/>
      <c r="AZ48" s="17"/>
      <c r="BA48" s="17"/>
      <c r="BB48" s="17"/>
      <c r="BC48" s="17"/>
      <c r="BD48" s="9"/>
    </row>
    <row r="49" spans="12:56">
      <c r="AY49" s="26"/>
      <c r="AZ49" s="17"/>
      <c r="BA49" s="17"/>
      <c r="BB49" s="17"/>
      <c r="BC49" s="17"/>
      <c r="BD49" s="9"/>
    </row>
    <row r="50" spans="12:56">
      <c r="AY50" s="26"/>
      <c r="AZ50" s="17"/>
      <c r="BA50" s="17"/>
      <c r="BB50" s="17"/>
      <c r="BC50" s="17"/>
      <c r="BD50" s="9"/>
    </row>
    <row r="51" spans="12:56">
      <c r="AY51" s="26"/>
      <c r="AZ51" s="17"/>
      <c r="BA51" s="17"/>
      <c r="BB51" s="17"/>
      <c r="BC51" s="17"/>
      <c r="BD51" s="9"/>
    </row>
    <row r="52" spans="12:56">
      <c r="N52" s="10"/>
      <c r="W52" s="10"/>
      <c r="AF52" s="10"/>
      <c r="AP52" s="10"/>
      <c r="AY52" s="26"/>
      <c r="AZ52" s="17"/>
      <c r="BA52" s="17"/>
      <c r="BB52" s="17"/>
      <c r="BC52" s="17"/>
      <c r="BD52" s="9"/>
    </row>
    <row r="53" spans="12:56">
      <c r="AY53" s="16" t="s">
        <v>423</v>
      </c>
      <c r="AZ53" s="27"/>
      <c r="BA53" s="27"/>
      <c r="BB53" s="27"/>
      <c r="BC53" s="27"/>
      <c r="BD53" s="9"/>
    </row>
    <row r="54" spans="12:56">
      <c r="AY54" s="28"/>
      <c r="AZ54" s="19" t="s">
        <v>13</v>
      </c>
      <c r="BA54" s="19" t="s">
        <v>14</v>
      </c>
      <c r="BB54" s="19" t="s">
        <v>15</v>
      </c>
      <c r="BC54" s="19" t="s">
        <v>12</v>
      </c>
      <c r="BD54" s="9"/>
    </row>
    <row r="55" spans="12:56">
      <c r="AY55" s="20" t="s">
        <v>55</v>
      </c>
      <c r="AZ55" s="21">
        <f>'2a. % By Priority'!G59</f>
        <v>0.8571428571428571</v>
      </c>
      <c r="BA55" s="21">
        <f>'2a. % By Priority'!N59</f>
        <v>1</v>
      </c>
      <c r="BB55" s="21">
        <f>'2a. % By Priority'!U59</f>
        <v>1</v>
      </c>
      <c r="BC55" s="21">
        <f>'2a. % By Priority'!AB59</f>
        <v>0.90909090909090906</v>
      </c>
      <c r="BD55" s="9"/>
    </row>
    <row r="56" spans="12:56">
      <c r="L56" s="13"/>
      <c r="M56" s="13"/>
      <c r="AY56" s="20" t="s">
        <v>56</v>
      </c>
      <c r="AZ56" s="21">
        <f>'2a. % By Priority'!G61</f>
        <v>0.14285714285714285</v>
      </c>
      <c r="BA56" s="21">
        <f>'2a. % By Priority'!N61</f>
        <v>0</v>
      </c>
      <c r="BB56" s="21">
        <f>'2a. % By Priority'!U61</f>
        <v>0</v>
      </c>
      <c r="BC56" s="21">
        <f>'2a. % By Priority'!AB61</f>
        <v>0</v>
      </c>
      <c r="BD56" s="9"/>
    </row>
    <row r="57" spans="12:56">
      <c r="L57" s="13"/>
      <c r="M57" s="13"/>
      <c r="AY57" s="20" t="s">
        <v>57</v>
      </c>
      <c r="AZ57" s="21">
        <f>'2a. % By Priority'!G64</f>
        <v>0</v>
      </c>
      <c r="BA57" s="21">
        <f>'2a. % By Priority'!N64</f>
        <v>0</v>
      </c>
      <c r="BB57" s="21">
        <f>'2a. % By Priority'!U64</f>
        <v>0</v>
      </c>
      <c r="BC57" s="21">
        <f>'2a. % By Priority'!AB64</f>
        <v>9.0909090909090912E-2</v>
      </c>
      <c r="BD57" s="9"/>
    </row>
    <row r="58" spans="12:56">
      <c r="L58" s="13"/>
      <c r="M58" s="13"/>
      <c r="AY58" s="9"/>
      <c r="AZ58" s="12"/>
      <c r="BA58" s="12"/>
      <c r="BB58" s="12"/>
      <c r="BC58" s="12"/>
      <c r="BD58" s="9"/>
    </row>
    <row r="59" spans="12:56">
      <c r="AY59" s="14"/>
      <c r="AZ59" s="12"/>
      <c r="BA59" s="12"/>
      <c r="BB59" s="12"/>
      <c r="BC59" s="12"/>
      <c r="BD59" s="9"/>
    </row>
    <row r="60" spans="12:56">
      <c r="AY60" s="14"/>
      <c r="AZ60" s="12"/>
      <c r="BA60" s="12"/>
      <c r="BB60" s="12"/>
      <c r="BC60" s="12"/>
      <c r="BD60" s="9"/>
    </row>
    <row r="61" spans="12:56">
      <c r="AY61" s="14"/>
      <c r="AZ61" s="12"/>
      <c r="BA61" s="12"/>
      <c r="BB61" s="12"/>
      <c r="BC61" s="12"/>
      <c r="BD61" s="9"/>
    </row>
    <row r="62" spans="12:56">
      <c r="AY62" s="9"/>
      <c r="AZ62" s="12"/>
      <c r="BA62" s="12"/>
      <c r="BB62" s="12"/>
      <c r="BC62" s="12"/>
      <c r="BD62" s="9"/>
    </row>
    <row r="63" spans="12:56">
      <c r="AY63" s="9"/>
      <c r="AZ63" s="12"/>
      <c r="BA63" s="12"/>
      <c r="BB63" s="12"/>
      <c r="BC63" s="12"/>
      <c r="BD63" s="9"/>
    </row>
    <row r="64" spans="12:56">
      <c r="AY64" s="9"/>
      <c r="AZ64" s="12"/>
      <c r="BA64" s="12"/>
      <c r="BB64" s="12"/>
      <c r="BC64" s="12"/>
      <c r="BD64" s="9"/>
    </row>
    <row r="65" spans="51:56">
      <c r="AY65" s="9"/>
      <c r="AZ65" s="12"/>
      <c r="BA65" s="12"/>
      <c r="BB65" s="12"/>
      <c r="BC65" s="12"/>
      <c r="BD65" s="9"/>
    </row>
    <row r="66" spans="51:56">
      <c r="AY66" s="9"/>
      <c r="AZ66" s="12"/>
      <c r="BA66" s="12"/>
      <c r="BB66" s="12"/>
      <c r="BC66" s="12"/>
      <c r="BD66" s="9"/>
    </row>
    <row r="69" spans="51:56">
      <c r="AY69" s="16" t="s">
        <v>406</v>
      </c>
      <c r="AZ69" s="27"/>
      <c r="BA69" s="27"/>
      <c r="BB69" s="27"/>
      <c r="BC69" s="27"/>
    </row>
    <row r="70" spans="51:56">
      <c r="AY70" s="28"/>
      <c r="AZ70" s="19" t="s">
        <v>13</v>
      </c>
      <c r="BA70" s="19" t="s">
        <v>14</v>
      </c>
      <c r="BB70" s="19" t="s">
        <v>15</v>
      </c>
      <c r="BC70" s="19" t="s">
        <v>12</v>
      </c>
    </row>
    <row r="71" spans="51:56">
      <c r="AY71" s="20" t="s">
        <v>55</v>
      </c>
      <c r="AZ71" s="21">
        <f>'2a. % By Priority'!G77</f>
        <v>1</v>
      </c>
      <c r="BA71" s="21">
        <f>'2a. % By Priority'!N77</f>
        <v>1</v>
      </c>
      <c r="BB71" s="21">
        <f>'2a. % By Priority'!U77</f>
        <v>1</v>
      </c>
      <c r="BC71" s="21">
        <f>'2a. % By Priority'!AB77</f>
        <v>1</v>
      </c>
    </row>
    <row r="72" spans="51:56">
      <c r="AY72" s="20" t="s">
        <v>56</v>
      </c>
      <c r="AZ72" s="21">
        <f>'2a. % By Priority'!G79</f>
        <v>0</v>
      </c>
      <c r="BA72" s="21">
        <f>'2a. % By Priority'!N79</f>
        <v>0</v>
      </c>
      <c r="BB72" s="21">
        <f>'2a. % By Priority'!U79</f>
        <v>0</v>
      </c>
      <c r="BC72" s="21">
        <f>'2a. % By Priority'!AB79</f>
        <v>0</v>
      </c>
    </row>
    <row r="73" spans="51:56">
      <c r="AY73" s="20" t="s">
        <v>57</v>
      </c>
      <c r="AZ73" s="21">
        <f>'2a. % By Priority'!G82</f>
        <v>0</v>
      </c>
      <c r="BA73" s="21">
        <f>'2a. % By Priority'!N82</f>
        <v>0</v>
      </c>
      <c r="BB73" s="21">
        <f>'2a. % By Priority'!U82</f>
        <v>0</v>
      </c>
      <c r="BC73" s="21">
        <f>'2a. % By Priority'!AB82</f>
        <v>0</v>
      </c>
    </row>
    <row r="84" spans="51:55">
      <c r="AY84" s="16" t="s">
        <v>407</v>
      </c>
    </row>
    <row r="85" spans="51:55">
      <c r="AY85" s="28"/>
      <c r="AZ85" s="19" t="s">
        <v>13</v>
      </c>
      <c r="BA85" s="19" t="s">
        <v>14</v>
      </c>
      <c r="BB85" s="19" t="s">
        <v>15</v>
      </c>
      <c r="BC85" s="19" t="s">
        <v>12</v>
      </c>
    </row>
    <row r="86" spans="51:55">
      <c r="AY86" s="20" t="s">
        <v>55</v>
      </c>
      <c r="AZ86" s="21">
        <f>'2a. % By Priority'!G95</f>
        <v>1</v>
      </c>
      <c r="BA86" s="21">
        <f>'2a. % By Priority'!N95</f>
        <v>1</v>
      </c>
      <c r="BB86" s="21">
        <f>'2a. % By Priority'!U95</f>
        <v>1</v>
      </c>
      <c r="BC86" s="21">
        <f>'2a. % By Priority'!AB95</f>
        <v>1</v>
      </c>
    </row>
    <row r="87" spans="51:55">
      <c r="AY87" s="20" t="s">
        <v>56</v>
      </c>
      <c r="AZ87" s="21">
        <f>'2a. % By Priority'!G97</f>
        <v>0</v>
      </c>
      <c r="BA87" s="21">
        <f>'2a. % By Priority'!N97</f>
        <v>0</v>
      </c>
      <c r="BB87" s="21">
        <f>'2a. % By Priority'!U97</f>
        <v>0</v>
      </c>
      <c r="BC87" s="21">
        <f>'2a. % By Priority'!AB97</f>
        <v>0</v>
      </c>
    </row>
    <row r="88" spans="51:55">
      <c r="AY88" s="20" t="s">
        <v>57</v>
      </c>
      <c r="AZ88" s="21">
        <f>'2a. % By Priority'!G100</f>
        <v>0</v>
      </c>
      <c r="BA88" s="21">
        <f>'2a. % By Priority'!N100</f>
        <v>0</v>
      </c>
      <c r="BB88" s="21">
        <f>'2a. % By Priority'!U100</f>
        <v>0</v>
      </c>
      <c r="BC88" s="21">
        <f>'2a. % By Priority'!AB100</f>
        <v>0</v>
      </c>
    </row>
  </sheetData>
  <sheetProtection algorithmName="SHA-512" hashValue="NBuUEVDodZh+D043q5MqOADUzi0CxqTnZJkcPdThaLiEQt4tbNM0ELD6dQJ4BKyvRqVesGv8hgH5FLg3DlKUXw==" saltValue="1rqq2Q+URqaHjNmRsPQ86A==" spinCount="100000" sheet="1" objects="1" scenarios="1"/>
  <mergeCells count="2">
    <mergeCell ref="M1:Z3"/>
    <mergeCell ref="AY1:BL3"/>
  </mergeCells>
  <pageMargins left="0.25" right="0.25" top="0.75" bottom="0.75" header="0.3" footer="0.3"/>
  <pageSetup paperSize="8" scale="51" orientation="landscape" verticalDpi="0" r:id="rId1"/>
  <colBreaks count="1" manualBreakCount="1">
    <brk id="45" max="1048575" man="1"/>
  </col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7"/>
  <sheetViews>
    <sheetView topLeftCell="H1" zoomScale="70" zoomScaleNormal="70" workbookViewId="0">
      <pane ySplit="2" topLeftCell="A90" activePane="bottomLeft" state="frozen"/>
      <selection activeCell="B1" sqref="B1"/>
      <selection pane="bottomLeft" activeCell="P1" sqref="P1:U1048576"/>
    </sheetView>
  </sheetViews>
  <sheetFormatPr defaultColWidth="9.28515625" defaultRowHeight="14.25"/>
  <cols>
    <col min="1" max="1" width="3.42578125" style="157" hidden="1" customWidth="1"/>
    <col min="2" max="2" width="52.28515625" style="157" hidden="1" customWidth="1"/>
    <col min="3" max="3" width="12.28515625" style="154" hidden="1" customWidth="1"/>
    <col min="4" max="4" width="11.7109375" style="154" hidden="1" customWidth="1"/>
    <col min="5" max="5" width="15" style="154" hidden="1" customWidth="1"/>
    <col min="6" max="6" width="11.7109375" style="157" hidden="1" customWidth="1"/>
    <col min="7" max="7" width="16.7109375" style="154" hidden="1" customWidth="1"/>
    <col min="8" max="8" width="4.5703125" style="157" customWidth="1"/>
    <col min="9" max="9" width="51.28515625" style="157" hidden="1" customWidth="1"/>
    <col min="10" max="10" width="12.28515625" style="154" hidden="1" customWidth="1"/>
    <col min="11" max="11" width="11.7109375" style="154" hidden="1" customWidth="1"/>
    <col min="12" max="12" width="15" style="154" hidden="1" customWidth="1"/>
    <col min="13" max="13" width="11.7109375" style="157" hidden="1" customWidth="1"/>
    <col min="14" max="14" width="16.7109375" style="154" hidden="1" customWidth="1"/>
    <col min="15" max="15" width="4.5703125" style="157" customWidth="1"/>
    <col min="16" max="16" width="52.5703125" style="157" hidden="1" customWidth="1"/>
    <col min="17" max="17" width="12.28515625" style="154" hidden="1" customWidth="1"/>
    <col min="18" max="18" width="11.7109375" style="154" hidden="1" customWidth="1"/>
    <col min="19" max="19" width="15" style="154" hidden="1" customWidth="1"/>
    <col min="20" max="20" width="11.7109375" style="157" hidden="1" customWidth="1"/>
    <col min="21" max="21" width="16.7109375" style="154" hidden="1" customWidth="1"/>
    <col min="22" max="22" width="4.5703125" style="157" customWidth="1"/>
    <col min="23" max="23" width="51.7109375" style="154" customWidth="1"/>
    <col min="24" max="24" width="12.28515625" style="154" customWidth="1"/>
    <col min="25" max="25" width="20.42578125" style="154" customWidth="1"/>
    <col min="26" max="26" width="15" style="154" customWidth="1"/>
    <col min="27" max="27" width="11.7109375" style="154" customWidth="1"/>
    <col min="28" max="28" width="16.7109375" style="181" customWidth="1"/>
    <col min="29" max="29" width="9.28515625" style="157" customWidth="1"/>
    <col min="30" max="16384" width="9.28515625" style="157"/>
  </cols>
  <sheetData>
    <row r="1" spans="2:30" s="151" customFormat="1" ht="20.25">
      <c r="B1" s="196" t="s">
        <v>425</v>
      </c>
      <c r="C1" s="197"/>
      <c r="D1" s="198"/>
      <c r="E1" s="198"/>
      <c r="F1" s="199"/>
      <c r="G1" s="198"/>
      <c r="I1" s="196" t="s">
        <v>417</v>
      </c>
      <c r="J1" s="197"/>
      <c r="K1" s="198"/>
      <c r="L1" s="198"/>
      <c r="M1" s="199"/>
      <c r="N1" s="198"/>
      <c r="P1" s="196" t="s">
        <v>418</v>
      </c>
      <c r="Q1" s="197"/>
      <c r="R1" s="198"/>
      <c r="S1" s="198"/>
      <c r="T1" s="199"/>
      <c r="U1" s="198"/>
      <c r="W1" s="200" t="s">
        <v>419</v>
      </c>
      <c r="X1" s="201"/>
      <c r="Y1" s="201"/>
      <c r="Z1" s="201"/>
      <c r="AA1" s="201"/>
      <c r="AB1" s="202"/>
    </row>
    <row r="2" spans="2:30" ht="15.75">
      <c r="B2" s="152"/>
      <c r="C2" s="153"/>
      <c r="D2" s="153"/>
      <c r="E2" s="153"/>
      <c r="F2" s="152"/>
      <c r="G2" s="153"/>
      <c r="I2" s="152"/>
      <c r="J2" s="153"/>
      <c r="K2" s="153"/>
      <c r="L2" s="153"/>
      <c r="M2" s="152"/>
      <c r="N2" s="153"/>
      <c r="P2" s="152"/>
      <c r="Q2" s="153"/>
      <c r="R2" s="153"/>
      <c r="S2" s="153"/>
      <c r="T2" s="152"/>
      <c r="U2" s="153"/>
      <c r="W2" s="155"/>
      <c r="X2" s="155"/>
      <c r="Y2" s="155"/>
      <c r="Z2" s="155"/>
      <c r="AA2" s="155"/>
      <c r="AB2" s="156"/>
    </row>
    <row r="3" spans="2:30" s="166" customFormat="1" ht="15.75">
      <c r="B3" s="225" t="s">
        <v>413</v>
      </c>
      <c r="C3" s="204"/>
      <c r="D3" s="204"/>
      <c r="E3" s="204"/>
      <c r="F3" s="205"/>
      <c r="G3" s="204"/>
      <c r="I3" s="225" t="s">
        <v>413</v>
      </c>
      <c r="J3" s="204"/>
      <c r="K3" s="204"/>
      <c r="L3" s="204"/>
      <c r="M3" s="205"/>
      <c r="N3" s="204"/>
      <c r="P3" s="225" t="s">
        <v>413</v>
      </c>
      <c r="Q3" s="204"/>
      <c r="R3" s="204"/>
      <c r="S3" s="204"/>
      <c r="T3" s="205"/>
      <c r="U3" s="204"/>
      <c r="W3" s="225" t="s">
        <v>413</v>
      </c>
      <c r="X3" s="204"/>
      <c r="Y3" s="204"/>
      <c r="Z3" s="204"/>
      <c r="AA3" s="205"/>
      <c r="AB3" s="204"/>
    </row>
    <row r="4" spans="2:30" ht="42" customHeight="1">
      <c r="B4" s="206" t="s">
        <v>42</v>
      </c>
      <c r="C4" s="207" t="s">
        <v>43</v>
      </c>
      <c r="D4" s="207" t="s">
        <v>44</v>
      </c>
      <c r="E4" s="207" t="s">
        <v>45</v>
      </c>
      <c r="F4" s="206" t="s">
        <v>46</v>
      </c>
      <c r="G4" s="207" t="s">
        <v>47</v>
      </c>
      <c r="I4" s="206" t="s">
        <v>42</v>
      </c>
      <c r="J4" s="207" t="s">
        <v>43</v>
      </c>
      <c r="K4" s="207" t="s">
        <v>44</v>
      </c>
      <c r="L4" s="207" t="s">
        <v>45</v>
      </c>
      <c r="M4" s="206" t="s">
        <v>46</v>
      </c>
      <c r="N4" s="207" t="s">
        <v>47</v>
      </c>
      <c r="P4" s="206" t="s">
        <v>42</v>
      </c>
      <c r="Q4" s="207" t="s">
        <v>43</v>
      </c>
      <c r="R4" s="207" t="s">
        <v>44</v>
      </c>
      <c r="S4" s="207" t="s">
        <v>45</v>
      </c>
      <c r="T4" s="206" t="s">
        <v>46</v>
      </c>
      <c r="U4" s="207" t="s">
        <v>47</v>
      </c>
      <c r="W4" s="164" t="s">
        <v>42</v>
      </c>
      <c r="X4" s="164" t="s">
        <v>43</v>
      </c>
      <c r="Y4" s="164" t="s">
        <v>44</v>
      </c>
      <c r="Z4" s="164" t="s">
        <v>45</v>
      </c>
      <c r="AA4" s="164" t="s">
        <v>46</v>
      </c>
      <c r="AB4" s="164" t="s">
        <v>47</v>
      </c>
    </row>
    <row r="5" spans="2:30" ht="21.75" customHeight="1">
      <c r="B5" s="228" t="s">
        <v>48</v>
      </c>
      <c r="C5" s="208">
        <f>COUNTIFS('1. All Data'!$AB$3:$AB$136,"Communities and Regulatory Services",'1. All Data'!$H$3:$H$136,"Fully Achieved")</f>
        <v>2</v>
      </c>
      <c r="D5" s="209">
        <f>C5/C16</f>
        <v>8.6956521739130432E-2</v>
      </c>
      <c r="E5" s="435">
        <f>D5+D6</f>
        <v>0.73913043478260865</v>
      </c>
      <c r="F5" s="210">
        <f>C5/C17</f>
        <v>0.1111111111111111</v>
      </c>
      <c r="G5" s="437">
        <f>F5+F6</f>
        <v>0.94444444444444442</v>
      </c>
      <c r="I5" s="228" t="s">
        <v>48</v>
      </c>
      <c r="J5" s="208">
        <f>COUNTIFS('1. All Data'!$AB$3:$AB$136,"Communities and Regulatory Services",'1. All Data'!$M$3:$M$136,"Fully Achieved")</f>
        <v>8</v>
      </c>
      <c r="K5" s="209">
        <f>J5/J16</f>
        <v>0.34782608695652173</v>
      </c>
      <c r="L5" s="435">
        <f>K5+K6</f>
        <v>0.91304347826086951</v>
      </c>
      <c r="M5" s="210">
        <f>J5/J17</f>
        <v>0.36363636363636365</v>
      </c>
      <c r="N5" s="437">
        <f>M5+M6</f>
        <v>0.95454545454545459</v>
      </c>
      <c r="P5" s="228" t="s">
        <v>48</v>
      </c>
      <c r="Q5" s="208">
        <f>COUNTIFS('1. All Data'!$AB$3:$AB$136,"Communities and Regulatory Services",'1. All Data'!$R$3:$R$136,"Fully Achieved")</f>
        <v>13</v>
      </c>
      <c r="R5" s="209">
        <f>Q5/Q16</f>
        <v>0.56521739130434778</v>
      </c>
      <c r="S5" s="435">
        <f>R5+R6</f>
        <v>0.95652173913043481</v>
      </c>
      <c r="T5" s="210">
        <f>Q5/Q17</f>
        <v>0.56521739130434778</v>
      </c>
      <c r="U5" s="437">
        <f>T5+T6</f>
        <v>0.95652173913043481</v>
      </c>
      <c r="W5" s="228" t="s">
        <v>48</v>
      </c>
      <c r="X5" s="208">
        <f>COUNTIFS('1. All Data'!$AB$3:$AB$136,"Communities and Regulatory Services",'1. All Data'!$V$3:$V$136,"Fully Achieved")</f>
        <v>21</v>
      </c>
      <c r="Y5" s="209">
        <f>X5/X16</f>
        <v>0.91304347826086951</v>
      </c>
      <c r="Z5" s="435">
        <f>Y5+Y6</f>
        <v>0.91304347826086951</v>
      </c>
      <c r="AA5" s="209">
        <f>X5/X17</f>
        <v>0.91304347826086951</v>
      </c>
      <c r="AB5" s="415">
        <f>AA5+AA6</f>
        <v>0.91304347826086951</v>
      </c>
    </row>
    <row r="6" spans="2:30" ht="18.75" customHeight="1">
      <c r="B6" s="228" t="s">
        <v>31</v>
      </c>
      <c r="C6" s="208">
        <f>COUNTIFS('1. All Data'!$AB$3:$AB$136,"Communities and Regulatory Services",'1. All Data'!$H$3:$H$136,"On Track to be Achieved")</f>
        <v>15</v>
      </c>
      <c r="D6" s="209">
        <f>C6/C16</f>
        <v>0.65217391304347827</v>
      </c>
      <c r="E6" s="435"/>
      <c r="F6" s="210">
        <f>C6/C17</f>
        <v>0.83333333333333337</v>
      </c>
      <c r="G6" s="437"/>
      <c r="I6" s="228" t="s">
        <v>31</v>
      </c>
      <c r="J6" s="208">
        <f>COUNTIFS('1. All Data'!$AB$3:$AB$136,"Communities and Regulatory Services",'1. All Data'!$M$3:$M$136,"On Track to be Achieved")</f>
        <v>13</v>
      </c>
      <c r="K6" s="209">
        <f>J6/J16</f>
        <v>0.56521739130434778</v>
      </c>
      <c r="L6" s="435"/>
      <c r="M6" s="210">
        <f>J6/J17</f>
        <v>0.59090909090909094</v>
      </c>
      <c r="N6" s="437"/>
      <c r="P6" s="228" t="s">
        <v>31</v>
      </c>
      <c r="Q6" s="208">
        <f>COUNTIFS('1. All Data'!$AB$3:$AB$136,"Communities and Regulatory Services",'1. All Data'!$R$3:$R$136,"On Track to be Achieved")</f>
        <v>9</v>
      </c>
      <c r="R6" s="209">
        <f>Q6/Q16</f>
        <v>0.39130434782608697</v>
      </c>
      <c r="S6" s="435"/>
      <c r="T6" s="210">
        <f>Q6/Q17</f>
        <v>0.39130434782608697</v>
      </c>
      <c r="U6" s="437"/>
      <c r="W6" s="228" t="s">
        <v>23</v>
      </c>
      <c r="X6" s="208">
        <f>COUNTIFS('1. All Data'!$AB$3:$AB$136,"Communities and Regulatory Services",'1. All Data'!$V$3:$V$136,"Numerical Outturn Within 5% Tolerance")</f>
        <v>0</v>
      </c>
      <c r="Y6" s="209">
        <f>X6/X16</f>
        <v>0</v>
      </c>
      <c r="Z6" s="435"/>
      <c r="AA6" s="209">
        <f>X6/X17</f>
        <v>0</v>
      </c>
      <c r="AB6" s="415"/>
    </row>
    <row r="7" spans="2:30" ht="21" customHeight="1">
      <c r="B7" s="447" t="s">
        <v>32</v>
      </c>
      <c r="C7" s="450">
        <f>COUNTIFS('1. All Data'!$AB$3:$AB$136,"Communities and Regulatory Services",'1. All Data'!$H$3:$H$136,"In Danger of Falling Behind Target")</f>
        <v>1</v>
      </c>
      <c r="D7" s="438">
        <f>C7/C16</f>
        <v>4.3478260869565216E-2</v>
      </c>
      <c r="E7" s="438">
        <f>D7</f>
        <v>4.3478260869565216E-2</v>
      </c>
      <c r="F7" s="441">
        <f>C7/C17</f>
        <v>5.5555555555555552E-2</v>
      </c>
      <c r="G7" s="444">
        <f>F7</f>
        <v>5.5555555555555552E-2</v>
      </c>
      <c r="I7" s="447" t="s">
        <v>32</v>
      </c>
      <c r="J7" s="450">
        <f>COUNTIFS('1. All Data'!$AB$3:$AB$136,"Communities and Regulatory Services",'1. All Data'!$M$3:$M$136,"In Danger of Falling Behind Target")</f>
        <v>0</v>
      </c>
      <c r="K7" s="438">
        <f>J7/J16</f>
        <v>0</v>
      </c>
      <c r="L7" s="438">
        <f>K7</f>
        <v>0</v>
      </c>
      <c r="M7" s="441">
        <f>J7/J17</f>
        <v>0</v>
      </c>
      <c r="N7" s="444">
        <f>M7</f>
        <v>0</v>
      </c>
      <c r="P7" s="447" t="s">
        <v>32</v>
      </c>
      <c r="Q7" s="450">
        <f>COUNTIFS('1. All Data'!$AB$3:$AB$136,"Communities and Regulatory Services",'1. All Data'!$R$3:$R$136,"In Danger of Falling Behind Target")</f>
        <v>0</v>
      </c>
      <c r="R7" s="438">
        <f>Q7/Q16</f>
        <v>0</v>
      </c>
      <c r="S7" s="438">
        <f>R7</f>
        <v>0</v>
      </c>
      <c r="T7" s="441">
        <f>Q7/Q17</f>
        <v>0</v>
      </c>
      <c r="U7" s="444">
        <f>T7</f>
        <v>0</v>
      </c>
      <c r="W7" s="169" t="s">
        <v>24</v>
      </c>
      <c r="X7" s="170">
        <f>COUNTIFS('1. All Data'!$AB$3:$AB$136,"Communities and Regulatory Services",'1. All Data'!$V$3:$V$136,"Numerical Outturn Within 10% Tolerance")</f>
        <v>0</v>
      </c>
      <c r="Y7" s="168">
        <f>X7/$X$16</f>
        <v>0</v>
      </c>
      <c r="Z7" s="413">
        <f>SUM(Y7:Y9)</f>
        <v>0</v>
      </c>
      <c r="AA7" s="168">
        <f>X7/$X$17</f>
        <v>0</v>
      </c>
      <c r="AB7" s="422">
        <f>SUM(AA7:AA9)</f>
        <v>0</v>
      </c>
    </row>
    <row r="8" spans="2:30" ht="20.25" customHeight="1">
      <c r="B8" s="448"/>
      <c r="C8" s="451"/>
      <c r="D8" s="439"/>
      <c r="E8" s="439"/>
      <c r="F8" s="442"/>
      <c r="G8" s="445"/>
      <c r="I8" s="448"/>
      <c r="J8" s="451"/>
      <c r="K8" s="439"/>
      <c r="L8" s="439"/>
      <c r="M8" s="442"/>
      <c r="N8" s="445"/>
      <c r="P8" s="448"/>
      <c r="Q8" s="451"/>
      <c r="R8" s="439"/>
      <c r="S8" s="439"/>
      <c r="T8" s="442"/>
      <c r="U8" s="445"/>
      <c r="W8" s="169" t="s">
        <v>25</v>
      </c>
      <c r="X8" s="170">
        <f>COUNTIFS('1. All Data'!$AB$3:$AB$136,"Communities and Regulatory Services",'1. All Data'!$V$3:$V$136,"Target Partially Met")</f>
        <v>0</v>
      </c>
      <c r="Y8" s="168">
        <f>X8/$X$16</f>
        <v>0</v>
      </c>
      <c r="Z8" s="413"/>
      <c r="AA8" s="168">
        <f>X8/$X$17</f>
        <v>0</v>
      </c>
      <c r="AB8" s="422"/>
    </row>
    <row r="9" spans="2:30" ht="18.75" customHeight="1">
      <c r="B9" s="449"/>
      <c r="C9" s="452"/>
      <c r="D9" s="440"/>
      <c r="E9" s="440"/>
      <c r="F9" s="443"/>
      <c r="G9" s="446"/>
      <c r="I9" s="449"/>
      <c r="J9" s="452"/>
      <c r="K9" s="440"/>
      <c r="L9" s="440"/>
      <c r="M9" s="443"/>
      <c r="N9" s="446"/>
      <c r="P9" s="449"/>
      <c r="Q9" s="452"/>
      <c r="R9" s="440"/>
      <c r="S9" s="440"/>
      <c r="T9" s="443"/>
      <c r="U9" s="446"/>
      <c r="W9" s="169" t="s">
        <v>28</v>
      </c>
      <c r="X9" s="170">
        <f>COUNTIFS('1. All Data'!$AB$3:$AB$136,"Communities and Regulatory Services",'1. All Data'!$V$3:$V$136,"Completion Date Within Reasonable Tolerance")</f>
        <v>0</v>
      </c>
      <c r="Y9" s="168">
        <f>X9/$X$16</f>
        <v>0</v>
      </c>
      <c r="Z9" s="413"/>
      <c r="AA9" s="168">
        <f>X9/$X$17</f>
        <v>0</v>
      </c>
      <c r="AB9" s="422"/>
    </row>
    <row r="10" spans="2:30" ht="20.25" customHeight="1">
      <c r="B10" s="211" t="s">
        <v>33</v>
      </c>
      <c r="C10" s="208">
        <f>COUNTIFS('1. All Data'!$AB$3:$AB$136,"Communities and Regulatory Services",'1. All Data'!$H$3:$H$136,"Completed Behind Schedule")</f>
        <v>0</v>
      </c>
      <c r="D10" s="209">
        <f>C10/C16</f>
        <v>0</v>
      </c>
      <c r="E10" s="435">
        <f>D10+D11</f>
        <v>0</v>
      </c>
      <c r="F10" s="210">
        <f>C10/C17</f>
        <v>0</v>
      </c>
      <c r="G10" s="436">
        <f>F10+F11</f>
        <v>0</v>
      </c>
      <c r="I10" s="211" t="s">
        <v>33</v>
      </c>
      <c r="J10" s="208">
        <f>COUNTIFS('1. All Data'!$AB$3:$AB$136,"Communities and Regulatory Services",'1. All Data'!$M$3:$M$136,"Completed Behind Schedule")</f>
        <v>0</v>
      </c>
      <c r="K10" s="209">
        <f>J10/J16</f>
        <v>0</v>
      </c>
      <c r="L10" s="435">
        <f>K10+K11</f>
        <v>4.3478260869565216E-2</v>
      </c>
      <c r="M10" s="210">
        <f>J10/J17</f>
        <v>0</v>
      </c>
      <c r="N10" s="436">
        <f>M10+M11</f>
        <v>4.5454545454545456E-2</v>
      </c>
      <c r="P10" s="211" t="s">
        <v>33</v>
      </c>
      <c r="Q10" s="208">
        <f>COUNTIFS('1. All Data'!$AB$3:$AB$136,"Communities and Regulatory Services",'1. All Data'!$R$3:$R$136,"Completed Behind Schedule")</f>
        <v>0</v>
      </c>
      <c r="R10" s="209">
        <f>Q10/Q16</f>
        <v>0</v>
      </c>
      <c r="S10" s="435">
        <f>R10+R11</f>
        <v>4.3478260869565216E-2</v>
      </c>
      <c r="T10" s="210">
        <f>Q10/Q17</f>
        <v>0</v>
      </c>
      <c r="U10" s="436">
        <f>T10+T11</f>
        <v>4.3478260869565216E-2</v>
      </c>
      <c r="W10" s="171" t="s">
        <v>27</v>
      </c>
      <c r="X10" s="208">
        <f>COUNTIFS('1. All Data'!$AB$3:$AB$136,"Communities and Regulatory Services",'1. All Data'!$V$3:$V$136,"Completed Significantly After Target Deadline")</f>
        <v>0</v>
      </c>
      <c r="Y10" s="209">
        <f>X10/X16</f>
        <v>0</v>
      </c>
      <c r="Z10" s="435">
        <f>Y10+Y11</f>
        <v>8.6956521739130432E-2</v>
      </c>
      <c r="AA10" s="168">
        <f>X10/$X$17</f>
        <v>0</v>
      </c>
      <c r="AB10" s="414">
        <f>AA10+AA11</f>
        <v>8.6956521739130432E-2</v>
      </c>
    </row>
    <row r="11" spans="2:30" ht="20.25" customHeight="1">
      <c r="B11" s="211" t="s">
        <v>26</v>
      </c>
      <c r="C11" s="208">
        <f>COUNTIFS('1. All Data'!$AB$3:$AB$136,"Communities and Regulatory Services",'1. All Data'!$H$3:$H$136,"Off Target")</f>
        <v>0</v>
      </c>
      <c r="D11" s="209">
        <f>C11/C16</f>
        <v>0</v>
      </c>
      <c r="E11" s="435"/>
      <c r="F11" s="210">
        <f>C11/C17</f>
        <v>0</v>
      </c>
      <c r="G11" s="436"/>
      <c r="I11" s="211" t="s">
        <v>26</v>
      </c>
      <c r="J11" s="208">
        <f>COUNTIFS('1. All Data'!$AB$3:$AB$136,"Communities and Regulatory Services",'1. All Data'!$M$3:$M$136,"Off Target")</f>
        <v>1</v>
      </c>
      <c r="K11" s="209">
        <f>J11/J16</f>
        <v>4.3478260869565216E-2</v>
      </c>
      <c r="L11" s="435"/>
      <c r="M11" s="210">
        <f>J11/J17</f>
        <v>4.5454545454545456E-2</v>
      </c>
      <c r="N11" s="436"/>
      <c r="P11" s="211" t="s">
        <v>26</v>
      </c>
      <c r="Q11" s="208">
        <f>COUNTIFS('1. All Data'!$AB$3:$AB$136,"Communities and Regulatory Services",'1. All Data'!$R$3:$R$136,"Off Target")</f>
        <v>1</v>
      </c>
      <c r="R11" s="209">
        <f>Q11/Q16</f>
        <v>4.3478260869565216E-2</v>
      </c>
      <c r="S11" s="435"/>
      <c r="T11" s="210">
        <f>Q11/Q17</f>
        <v>4.3478260869565216E-2</v>
      </c>
      <c r="U11" s="436"/>
      <c r="W11" s="171" t="s">
        <v>26</v>
      </c>
      <c r="X11" s="208">
        <f>COUNTIFS('1. All Data'!$AB$3:$AB$136,"Communities and Regulatory Services",'1. All Data'!$V$3:$V$136,"Off Target")</f>
        <v>2</v>
      </c>
      <c r="Y11" s="209">
        <f>X11/X16</f>
        <v>8.6956521739130432E-2</v>
      </c>
      <c r="Z11" s="435"/>
      <c r="AA11" s="168">
        <f>X11/$X$17</f>
        <v>8.6956521739130432E-2</v>
      </c>
      <c r="AB11" s="414"/>
    </row>
    <row r="12" spans="2:30" ht="15" customHeight="1">
      <c r="B12" s="212" t="s">
        <v>49</v>
      </c>
      <c r="C12" s="208">
        <f>COUNTIFS('1. All Data'!$AB$3:$AB$136,"Communities and Regulatory Services",'1. All Data'!$H$3:$H$136,"Not yet due")</f>
        <v>5</v>
      </c>
      <c r="D12" s="213">
        <f>C12/C16</f>
        <v>0.21739130434782608</v>
      </c>
      <c r="E12" s="213">
        <f>D12</f>
        <v>0.21739130434782608</v>
      </c>
      <c r="F12" s="214"/>
      <c r="G12" s="58"/>
      <c r="I12" s="212" t="s">
        <v>49</v>
      </c>
      <c r="J12" s="208">
        <f>COUNTIFS('1. All Data'!$AB$3:$AB$136,"Communities and Regulatory Services",'1. All Data'!$M$3:$M$136,"Not yet due")</f>
        <v>1</v>
      </c>
      <c r="K12" s="213">
        <f>J12/J16</f>
        <v>4.3478260869565216E-2</v>
      </c>
      <c r="L12" s="213">
        <f>K12</f>
        <v>4.3478260869565216E-2</v>
      </c>
      <c r="M12" s="214"/>
      <c r="N12" s="58"/>
      <c r="P12" s="212" t="s">
        <v>49</v>
      </c>
      <c r="Q12" s="208">
        <f>COUNTIFS('1. All Data'!$AB$3:$AB$136,"Communities and Regulatory Services",'1. All Data'!$R$3:$R$136,"Not yet due")</f>
        <v>0</v>
      </c>
      <c r="R12" s="213">
        <f>Q12/Q16</f>
        <v>0</v>
      </c>
      <c r="S12" s="213">
        <f>R12</f>
        <v>0</v>
      </c>
      <c r="T12" s="214"/>
      <c r="U12" s="58"/>
      <c r="W12" s="172" t="s">
        <v>49</v>
      </c>
      <c r="X12" s="208">
        <f>COUNTIFS('1. All Data'!$AB$3:$AB$136,"Communities and Regulatory Services",'1. All Data'!$V$3:$V$136,"Not yet due")</f>
        <v>0</v>
      </c>
      <c r="Y12" s="213">
        <f>X12/X16</f>
        <v>0</v>
      </c>
      <c r="Z12" s="213">
        <f>Y12</f>
        <v>0</v>
      </c>
      <c r="AA12" s="174"/>
      <c r="AB12" s="58"/>
    </row>
    <row r="13" spans="2:30" ht="15" customHeight="1">
      <c r="B13" s="212" t="s">
        <v>21</v>
      </c>
      <c r="C13" s="208">
        <f>COUNTIFS('1. All Data'!$AB$3:$AB$136,"Communities and Regulatory Services",'1. All Data'!$H$3:$H$136,"Update not provided")</f>
        <v>0</v>
      </c>
      <c r="D13" s="213">
        <f>C13/C16</f>
        <v>0</v>
      </c>
      <c r="E13" s="213">
        <f>D13</f>
        <v>0</v>
      </c>
      <c r="F13" s="214"/>
      <c r="G13" s="2"/>
      <c r="I13" s="212" t="s">
        <v>21</v>
      </c>
      <c r="J13" s="208">
        <f>COUNTIFS('1. All Data'!$AB$3:$AB$136,"Communities and Regulatory Services",'1. All Data'!$M$3:$M$136,"Update not provided")</f>
        <v>0</v>
      </c>
      <c r="K13" s="213">
        <f>J13/J16</f>
        <v>0</v>
      </c>
      <c r="L13" s="213">
        <f>K13</f>
        <v>0</v>
      </c>
      <c r="M13" s="214"/>
      <c r="N13" s="2"/>
      <c r="P13" s="212" t="s">
        <v>21</v>
      </c>
      <c r="Q13" s="208">
        <f>COUNTIFS('1. All Data'!$AB$3:$AB$136,"Communities and Regulatory Services",'1. All Data'!$R$3:$R$136,"Update not provided")</f>
        <v>0</v>
      </c>
      <c r="R13" s="213">
        <f>Q13/Q16</f>
        <v>0</v>
      </c>
      <c r="S13" s="213">
        <f>R13</f>
        <v>0</v>
      </c>
      <c r="T13" s="214"/>
      <c r="U13" s="2"/>
      <c r="W13" s="172" t="s">
        <v>21</v>
      </c>
      <c r="X13" s="208">
        <f>COUNTIFS('1. All Data'!$AB$3:$AB$136,"Communities and Regulatory Services",'1. All Data'!$V$3:$V$136,"Update not provided")</f>
        <v>0</v>
      </c>
      <c r="Y13" s="213">
        <f>X13/X16</f>
        <v>0</v>
      </c>
      <c r="Z13" s="213">
        <f>Y13</f>
        <v>0</v>
      </c>
      <c r="AA13" s="174"/>
      <c r="AB13" s="2"/>
    </row>
    <row r="14" spans="2:30" ht="15.75" customHeight="1">
      <c r="B14" s="215" t="s">
        <v>29</v>
      </c>
      <c r="C14" s="208">
        <f>COUNTIFS('1. All Data'!$AB$3:$AB$136,"Communities and Regulatory Services",'1. All Data'!$H$3:$H$136,"Deferred")</f>
        <v>0</v>
      </c>
      <c r="D14" s="216">
        <f>C14/C16</f>
        <v>0</v>
      </c>
      <c r="E14" s="216">
        <f>D14</f>
        <v>0</v>
      </c>
      <c r="F14" s="217"/>
      <c r="G14" s="58"/>
      <c r="I14" s="215" t="s">
        <v>29</v>
      </c>
      <c r="J14" s="208">
        <f>COUNTIFS('1. All Data'!$AB$3:$AB$136,"Communities and Regulatory Services",'1. All Data'!$M$3:$M$136,"Deferred")</f>
        <v>0</v>
      </c>
      <c r="K14" s="216">
        <f>J14/J16</f>
        <v>0</v>
      </c>
      <c r="L14" s="216">
        <f>K14</f>
        <v>0</v>
      </c>
      <c r="M14" s="217"/>
      <c r="N14" s="58"/>
      <c r="P14" s="215" t="s">
        <v>29</v>
      </c>
      <c r="Q14" s="208">
        <f>COUNTIFS('1. All Data'!$AB$3:$AB$136,"Communities and Regulatory Services",'1. All Data'!$R$3:$R$136,"Deferred")</f>
        <v>0</v>
      </c>
      <c r="R14" s="216">
        <f>Q14/Q16</f>
        <v>0</v>
      </c>
      <c r="S14" s="216">
        <f>R14</f>
        <v>0</v>
      </c>
      <c r="T14" s="217"/>
      <c r="U14" s="58"/>
      <c r="W14" s="175" t="s">
        <v>29</v>
      </c>
      <c r="X14" s="208">
        <f>COUNTIFS('1. All Data'!$AB$3:$AB$136,"Communities and Regulatory Services",'1. All Data'!$V$3:$V$136,"Deferred")</f>
        <v>0</v>
      </c>
      <c r="Y14" s="216">
        <f>X14/X16</f>
        <v>0</v>
      </c>
      <c r="Z14" s="216">
        <f>Y14</f>
        <v>0</v>
      </c>
      <c r="AA14" s="177"/>
      <c r="AB14" s="58"/>
    </row>
    <row r="15" spans="2:30" ht="15.75" customHeight="1">
      <c r="B15" s="215" t="s">
        <v>30</v>
      </c>
      <c r="C15" s="208">
        <f>COUNTIFS('1. All Data'!$AB$3:$AB$136,"Communities and Regulatory Services",'1. All Data'!$H$3:$H$136,"Deleted")</f>
        <v>0</v>
      </c>
      <c r="D15" s="216">
        <f>C15/C16</f>
        <v>0</v>
      </c>
      <c r="E15" s="216">
        <f>D15</f>
        <v>0</v>
      </c>
      <c r="F15" s="217"/>
      <c r="G15" s="29"/>
      <c r="I15" s="215" t="s">
        <v>30</v>
      </c>
      <c r="J15" s="208">
        <f>COUNTIFS('1. All Data'!$AB$3:$AB$136,"Communities and Regulatory Services",'1. All Data'!$M$3:$M$136,"Deleted")</f>
        <v>0</v>
      </c>
      <c r="K15" s="216">
        <f>J15/J16</f>
        <v>0</v>
      </c>
      <c r="L15" s="216">
        <f>K15</f>
        <v>0</v>
      </c>
      <c r="M15" s="217"/>
      <c r="N15" s="29"/>
      <c r="P15" s="215" t="s">
        <v>30</v>
      </c>
      <c r="Q15" s="208">
        <f>COUNTIFS('1. All Data'!$AB$3:$AB$136,"Communities and Regulatory Services",'1. All Data'!$R$3:$R$136,"Deleted")</f>
        <v>0</v>
      </c>
      <c r="R15" s="216">
        <f>Q15/Q16</f>
        <v>0</v>
      </c>
      <c r="S15" s="216">
        <f>R15</f>
        <v>0</v>
      </c>
      <c r="T15" s="217"/>
      <c r="U15" s="29"/>
      <c r="W15" s="175" t="s">
        <v>30</v>
      </c>
      <c r="X15" s="208">
        <f>COUNTIFS('1. All Data'!$AB$3:$AB$136,"Communities and Regulatory Services",'1. All Data'!$V$3:$V$136,"Deleted")</f>
        <v>0</v>
      </c>
      <c r="Y15" s="216">
        <f>X15/X16</f>
        <v>0</v>
      </c>
      <c r="Z15" s="216">
        <f>Y15</f>
        <v>0</v>
      </c>
      <c r="AA15" s="177"/>
      <c r="AD15" s="3"/>
    </row>
    <row r="16" spans="2:30" ht="15.75" customHeight="1">
      <c r="B16" s="218" t="s">
        <v>51</v>
      </c>
      <c r="C16" s="219">
        <f>SUM(C5:C15)</f>
        <v>23</v>
      </c>
      <c r="D16" s="177"/>
      <c r="E16" s="177"/>
      <c r="F16" s="220"/>
      <c r="G16" s="58"/>
      <c r="I16" s="218" t="s">
        <v>51</v>
      </c>
      <c r="J16" s="219">
        <f>SUM(J5:J15)</f>
        <v>23</v>
      </c>
      <c r="K16" s="177"/>
      <c r="L16" s="177"/>
      <c r="M16" s="220"/>
      <c r="N16" s="58"/>
      <c r="P16" s="218" t="s">
        <v>51</v>
      </c>
      <c r="Q16" s="219">
        <f>SUM(Q5:Q15)</f>
        <v>23</v>
      </c>
      <c r="R16" s="177"/>
      <c r="S16" s="177"/>
      <c r="T16" s="220"/>
      <c r="U16" s="58"/>
      <c r="W16" s="178" t="s">
        <v>51</v>
      </c>
      <c r="X16" s="219">
        <f>SUM(X5:X15)</f>
        <v>23</v>
      </c>
      <c r="Y16" s="177"/>
      <c r="Z16" s="177"/>
      <c r="AA16" s="58"/>
      <c r="AB16" s="58"/>
    </row>
    <row r="17" spans="2:29" ht="15.75" customHeight="1">
      <c r="B17" s="218" t="s">
        <v>52</v>
      </c>
      <c r="C17" s="219">
        <f>C16-C15-C14-C13-C12</f>
        <v>18</v>
      </c>
      <c r="D17" s="58"/>
      <c r="E17" s="58"/>
      <c r="F17" s="220"/>
      <c r="G17" s="58"/>
      <c r="I17" s="218" t="s">
        <v>52</v>
      </c>
      <c r="J17" s="219">
        <f>J16-J15-J14-J13-J12</f>
        <v>22</v>
      </c>
      <c r="K17" s="58"/>
      <c r="L17" s="58"/>
      <c r="M17" s="220"/>
      <c r="N17" s="58"/>
      <c r="P17" s="218" t="s">
        <v>52</v>
      </c>
      <c r="Q17" s="219">
        <f>Q16-Q15-Q14-Q13-Q12</f>
        <v>23</v>
      </c>
      <c r="R17" s="58"/>
      <c r="S17" s="58"/>
      <c r="T17" s="220"/>
      <c r="U17" s="58"/>
      <c r="W17" s="178" t="s">
        <v>52</v>
      </c>
      <c r="X17" s="219">
        <f>X16-X15-X14-X13-X12</f>
        <v>23</v>
      </c>
      <c r="Y17" s="58"/>
      <c r="Z17" s="58"/>
      <c r="AA17" s="58"/>
      <c r="AB17" s="58"/>
    </row>
    <row r="18" spans="2:29" ht="15.75" customHeight="1">
      <c r="W18" s="180"/>
      <c r="AA18" s="2"/>
    </row>
    <row r="19" spans="2:29" ht="15.75" customHeight="1">
      <c r="AA19" s="2"/>
    </row>
    <row r="20" spans="2:29" s="166" customFormat="1" ht="15.75" customHeight="1">
      <c r="B20" s="187"/>
      <c r="C20" s="165"/>
      <c r="D20" s="165"/>
      <c r="E20" s="165"/>
      <c r="F20" s="220"/>
      <c r="G20" s="165"/>
      <c r="I20" s="187"/>
      <c r="J20" s="165"/>
      <c r="K20" s="165"/>
      <c r="L20" s="165"/>
      <c r="M20" s="220"/>
      <c r="N20" s="165"/>
      <c r="P20" s="187"/>
      <c r="Q20" s="165"/>
      <c r="R20" s="165"/>
      <c r="S20" s="165"/>
      <c r="T20" s="220"/>
      <c r="U20" s="165"/>
      <c r="W20" s="165"/>
      <c r="X20" s="165"/>
      <c r="Y20" s="165"/>
      <c r="Z20" s="165"/>
      <c r="AA20" s="58"/>
      <c r="AB20" s="186"/>
    </row>
    <row r="21" spans="2:29" ht="15" customHeight="1">
      <c r="W21" s="221"/>
      <c r="X21" s="58"/>
      <c r="Y21" s="58"/>
      <c r="Z21" s="58"/>
      <c r="AA21" s="58"/>
      <c r="AB21" s="177"/>
      <c r="AC21" s="166"/>
    </row>
    <row r="22" spans="2:29" s="166" customFormat="1" ht="15.75">
      <c r="B22" s="203" t="s">
        <v>110</v>
      </c>
      <c r="C22" s="204"/>
      <c r="D22" s="204"/>
      <c r="E22" s="204"/>
      <c r="F22" s="205"/>
      <c r="G22" s="204"/>
      <c r="I22" s="203" t="s">
        <v>110</v>
      </c>
      <c r="J22" s="204"/>
      <c r="K22" s="204"/>
      <c r="L22" s="204"/>
      <c r="M22" s="205"/>
      <c r="N22" s="204"/>
      <c r="P22" s="203" t="s">
        <v>110</v>
      </c>
      <c r="Q22" s="204"/>
      <c r="R22" s="204"/>
      <c r="S22" s="204"/>
      <c r="T22" s="205"/>
      <c r="U22" s="204"/>
      <c r="W22" s="203" t="s">
        <v>110</v>
      </c>
      <c r="X22" s="204"/>
      <c r="Y22" s="204"/>
      <c r="Z22" s="204"/>
      <c r="AA22" s="205"/>
      <c r="AB22" s="204"/>
    </row>
    <row r="23" spans="2:29" ht="42" customHeight="1">
      <c r="B23" s="206" t="s">
        <v>42</v>
      </c>
      <c r="C23" s="207" t="s">
        <v>43</v>
      </c>
      <c r="D23" s="207" t="s">
        <v>44</v>
      </c>
      <c r="E23" s="207" t="s">
        <v>45</v>
      </c>
      <c r="F23" s="206" t="s">
        <v>46</v>
      </c>
      <c r="G23" s="207" t="s">
        <v>47</v>
      </c>
      <c r="I23" s="206" t="s">
        <v>42</v>
      </c>
      <c r="J23" s="207" t="s">
        <v>43</v>
      </c>
      <c r="K23" s="207" t="s">
        <v>44</v>
      </c>
      <c r="L23" s="207" t="s">
        <v>45</v>
      </c>
      <c r="M23" s="206" t="s">
        <v>46</v>
      </c>
      <c r="N23" s="207" t="s">
        <v>47</v>
      </c>
      <c r="P23" s="206" t="s">
        <v>42</v>
      </c>
      <c r="Q23" s="207" t="s">
        <v>43</v>
      </c>
      <c r="R23" s="207" t="s">
        <v>44</v>
      </c>
      <c r="S23" s="207" t="s">
        <v>45</v>
      </c>
      <c r="T23" s="206" t="s">
        <v>46</v>
      </c>
      <c r="U23" s="207" t="s">
        <v>47</v>
      </c>
      <c r="W23" s="164" t="s">
        <v>42</v>
      </c>
      <c r="X23" s="164" t="s">
        <v>43</v>
      </c>
      <c r="Y23" s="164" t="s">
        <v>44</v>
      </c>
      <c r="Z23" s="164" t="s">
        <v>45</v>
      </c>
      <c r="AA23" s="164" t="s">
        <v>46</v>
      </c>
      <c r="AB23" s="164" t="s">
        <v>47</v>
      </c>
      <c r="AC23" s="166"/>
    </row>
    <row r="24" spans="2:29" ht="21.75" customHeight="1">
      <c r="B24" s="228" t="s">
        <v>48</v>
      </c>
      <c r="C24" s="208">
        <f>COUNTIFS('1. All Data'!$AB$3:$AB$136,"Environment and climate change",'1. All Data'!$H$3:$H$136,"Fully Achieved")</f>
        <v>2</v>
      </c>
      <c r="D24" s="209">
        <f>C24/C35</f>
        <v>5.8823529411764705E-2</v>
      </c>
      <c r="E24" s="435">
        <f>D24+D25</f>
        <v>0.44117647058823528</v>
      </c>
      <c r="F24" s="210">
        <f>C24/C36</f>
        <v>0.1111111111111111</v>
      </c>
      <c r="G24" s="437">
        <f>F24+F25</f>
        <v>0.83333333333333326</v>
      </c>
      <c r="I24" s="228" t="s">
        <v>48</v>
      </c>
      <c r="J24" s="208">
        <f>COUNTIFS('1. All Data'!$AB$3:$AB$136,"Environment and Climate Change",'1. All Data'!$M$3:$M$136,"Fully Achieved")</f>
        <v>7</v>
      </c>
      <c r="K24" s="209">
        <f>J24/J35</f>
        <v>0.20588235294117646</v>
      </c>
      <c r="L24" s="435">
        <f>K24+K25</f>
        <v>0.82352941176470584</v>
      </c>
      <c r="M24" s="210">
        <f>J24/J36</f>
        <v>0.22580645161290322</v>
      </c>
      <c r="N24" s="437">
        <f>M24+M25</f>
        <v>0.90322580645161288</v>
      </c>
      <c r="P24" s="228" t="s">
        <v>48</v>
      </c>
      <c r="Q24" s="208">
        <f>COUNTIFS('1. All Data'!$AB$3:$AB$136,"Environment and Climate Change",'1. All Data'!$R$3:$R$136,"Fully Achieved")</f>
        <v>20</v>
      </c>
      <c r="R24" s="209">
        <f>Q24/Q35</f>
        <v>0.58823529411764708</v>
      </c>
      <c r="S24" s="435">
        <f>R24+R25</f>
        <v>0.88235294117647056</v>
      </c>
      <c r="T24" s="210">
        <f>Q24/Q36</f>
        <v>0.60606060606060608</v>
      </c>
      <c r="U24" s="437">
        <f>T24+T25</f>
        <v>0.90909090909090917</v>
      </c>
      <c r="W24" s="228" t="s">
        <v>48</v>
      </c>
      <c r="X24" s="208">
        <f>COUNTIFS('1. All Data'!$AB$3:$AB$136,"Environment and Climate Change",'1. All Data'!$V$3:$V$136,"Fully Achieved")</f>
        <v>31</v>
      </c>
      <c r="Y24" s="209">
        <f>X24/X35</f>
        <v>0.91176470588235292</v>
      </c>
      <c r="Z24" s="435">
        <f>Y24+Y25</f>
        <v>0.91176470588235292</v>
      </c>
      <c r="AA24" s="209">
        <f>X24/X36</f>
        <v>0.91176470588235292</v>
      </c>
      <c r="AB24" s="415">
        <f>AA24+AA25</f>
        <v>0.91176470588235292</v>
      </c>
      <c r="AC24" s="166"/>
    </row>
    <row r="25" spans="2:29" ht="18.75" customHeight="1">
      <c r="B25" s="228" t="s">
        <v>31</v>
      </c>
      <c r="C25" s="208">
        <f>COUNTIFS('1. All Data'!$AB$3:$AB$136,"Environment and climate change",'1. All Data'!$H$3:$H$136,"On Track to be Achieved")</f>
        <v>13</v>
      </c>
      <c r="D25" s="209">
        <f>C25/C35</f>
        <v>0.38235294117647056</v>
      </c>
      <c r="E25" s="435"/>
      <c r="F25" s="210">
        <f>C25/C36</f>
        <v>0.72222222222222221</v>
      </c>
      <c r="G25" s="437"/>
      <c r="I25" s="228" t="s">
        <v>31</v>
      </c>
      <c r="J25" s="208">
        <f>COUNTIFS('1. All Data'!$AB$3:$AB$136,"Environment and Climate Change",'1. All Data'!$M$3:$M$136,"On Track to be Achieved")</f>
        <v>21</v>
      </c>
      <c r="K25" s="209">
        <f>J25/J35</f>
        <v>0.61764705882352944</v>
      </c>
      <c r="L25" s="435"/>
      <c r="M25" s="210">
        <f>J25/J36</f>
        <v>0.67741935483870963</v>
      </c>
      <c r="N25" s="437"/>
      <c r="P25" s="228" t="s">
        <v>31</v>
      </c>
      <c r="Q25" s="208">
        <f>COUNTIFS('1. All Data'!$AB$3:$AB$136,"Environment and Climate Change",'1. All Data'!$R$3:$R$136,"On Track to be Achieved")</f>
        <v>10</v>
      </c>
      <c r="R25" s="209">
        <f>Q25/Q35</f>
        <v>0.29411764705882354</v>
      </c>
      <c r="S25" s="435"/>
      <c r="T25" s="210">
        <f>Q25/Q36</f>
        <v>0.30303030303030304</v>
      </c>
      <c r="U25" s="437"/>
      <c r="W25" s="228" t="s">
        <v>23</v>
      </c>
      <c r="X25" s="208">
        <f>COUNTIFS('1. All Data'!$AB$3:$AB$136,"Environment and Climate Change",'1. All Data'!$V$3:$V$136,"Numerical Outturn Within 5% Tolerance")</f>
        <v>0</v>
      </c>
      <c r="Y25" s="209">
        <f>X25/X35</f>
        <v>0</v>
      </c>
      <c r="Z25" s="435"/>
      <c r="AA25" s="209">
        <f>X25/X36</f>
        <v>0</v>
      </c>
      <c r="AB25" s="415"/>
      <c r="AC25" s="166"/>
    </row>
    <row r="26" spans="2:29" ht="21" customHeight="1">
      <c r="B26" s="447" t="s">
        <v>32</v>
      </c>
      <c r="C26" s="450">
        <f>COUNTIFS('1. All Data'!$AB$3:$AB$136,"Environment and climate change",'1. All Data'!$H$3:$H$136,"In Danger of Falling Behind Target")</f>
        <v>3</v>
      </c>
      <c r="D26" s="438">
        <f>C26/C35</f>
        <v>8.8235294117647065E-2</v>
      </c>
      <c r="E26" s="438">
        <f>D26</f>
        <v>8.8235294117647065E-2</v>
      </c>
      <c r="F26" s="441">
        <f>C26/C36</f>
        <v>0.16666666666666666</v>
      </c>
      <c r="G26" s="444">
        <f>F26</f>
        <v>0.16666666666666666</v>
      </c>
      <c r="I26" s="447" t="s">
        <v>32</v>
      </c>
      <c r="J26" s="450">
        <f>COUNTIFS('1. All Data'!$AB$3:$AB$136,"Environment and Climate Change",'1. All Data'!$M$3:$M$136,"In Danger of Falling Behind Target")</f>
        <v>2</v>
      </c>
      <c r="K26" s="438">
        <f>J26/J35</f>
        <v>5.8823529411764705E-2</v>
      </c>
      <c r="L26" s="438">
        <f>K26</f>
        <v>5.8823529411764705E-2</v>
      </c>
      <c r="M26" s="441">
        <f>J26/J36</f>
        <v>6.4516129032258063E-2</v>
      </c>
      <c r="N26" s="444">
        <f>M26</f>
        <v>6.4516129032258063E-2</v>
      </c>
      <c r="P26" s="447" t="s">
        <v>32</v>
      </c>
      <c r="Q26" s="450">
        <f>COUNTIFS('1. All Data'!$AB$3:$AB$136,"Environment and Climate Change",'1. All Data'!$R$3:$R$136,"In Danger of Falling Behind Target")</f>
        <v>2</v>
      </c>
      <c r="R26" s="438">
        <f>Q26/Q35</f>
        <v>5.8823529411764705E-2</v>
      </c>
      <c r="S26" s="438">
        <f>R26</f>
        <v>5.8823529411764705E-2</v>
      </c>
      <c r="T26" s="441">
        <f>Q26/Q36</f>
        <v>6.0606060606060608E-2</v>
      </c>
      <c r="U26" s="444">
        <f>T26</f>
        <v>6.0606060606060608E-2</v>
      </c>
      <c r="W26" s="169" t="s">
        <v>24</v>
      </c>
      <c r="X26" s="170">
        <f>COUNTIFS('1. All Data'!$AB$3:$AB$136,"Environment and Climate Change",'1. All Data'!$V$3:$V$136,"Numerical Outturn Within 10% Tolerance")</f>
        <v>1</v>
      </c>
      <c r="Y26" s="168">
        <f>X26/X35</f>
        <v>2.9411764705882353E-2</v>
      </c>
      <c r="Z26" s="413">
        <f>SUM(Y26:Y28)</f>
        <v>2.9411764705882353E-2</v>
      </c>
      <c r="AA26" s="168">
        <f>X26/X36</f>
        <v>2.9411764705882353E-2</v>
      </c>
      <c r="AB26" s="422">
        <f>SUM(AA26:AA28)</f>
        <v>2.9411764705882353E-2</v>
      </c>
      <c r="AC26" s="166"/>
    </row>
    <row r="27" spans="2:29" ht="20.25" customHeight="1">
      <c r="B27" s="448"/>
      <c r="C27" s="451"/>
      <c r="D27" s="439"/>
      <c r="E27" s="439"/>
      <c r="F27" s="442"/>
      <c r="G27" s="445"/>
      <c r="I27" s="448"/>
      <c r="J27" s="451"/>
      <c r="K27" s="439"/>
      <c r="L27" s="439"/>
      <c r="M27" s="442"/>
      <c r="N27" s="445"/>
      <c r="P27" s="448"/>
      <c r="Q27" s="451"/>
      <c r="R27" s="439"/>
      <c r="S27" s="439"/>
      <c r="T27" s="442"/>
      <c r="U27" s="445"/>
      <c r="W27" s="169" t="s">
        <v>25</v>
      </c>
      <c r="X27" s="170">
        <f>COUNTIFS('1. All Data'!$AB$3:$AB$136,"Environment and Climate Change",'1. All Data'!$V$3:$V$136,"Target Partially Met")</f>
        <v>0</v>
      </c>
      <c r="Y27" s="168">
        <f>X27/X35</f>
        <v>0</v>
      </c>
      <c r="Z27" s="413"/>
      <c r="AA27" s="168">
        <f>X27/X36</f>
        <v>0</v>
      </c>
      <c r="AB27" s="422"/>
      <c r="AC27" s="166"/>
    </row>
    <row r="28" spans="2:29" ht="15.75" customHeight="1">
      <c r="B28" s="449"/>
      <c r="C28" s="452"/>
      <c r="D28" s="440"/>
      <c r="E28" s="440"/>
      <c r="F28" s="443"/>
      <c r="G28" s="446"/>
      <c r="I28" s="449"/>
      <c r="J28" s="452"/>
      <c r="K28" s="440"/>
      <c r="L28" s="440"/>
      <c r="M28" s="443"/>
      <c r="N28" s="446"/>
      <c r="P28" s="449"/>
      <c r="Q28" s="452"/>
      <c r="R28" s="440"/>
      <c r="S28" s="440"/>
      <c r="T28" s="443"/>
      <c r="U28" s="446"/>
      <c r="W28" s="169" t="s">
        <v>28</v>
      </c>
      <c r="X28" s="170">
        <f>COUNTIFS('1. All Data'!$AB$3:$AB$136,"Environment and Climate Change",'1. All Data'!$V$3:$V$136,"Completion Date Within Reasonable Tolerance")</f>
        <v>0</v>
      </c>
      <c r="Y28" s="168">
        <f>X28/X35</f>
        <v>0</v>
      </c>
      <c r="Z28" s="413"/>
      <c r="AA28" s="168">
        <f>X28/X36</f>
        <v>0</v>
      </c>
      <c r="AB28" s="422"/>
      <c r="AC28" s="166"/>
    </row>
    <row r="29" spans="2:29" ht="20.25" customHeight="1">
      <c r="B29" s="211" t="s">
        <v>33</v>
      </c>
      <c r="C29" s="208">
        <f>COUNTIFS('1. All Data'!$AB$3:$AB$136,"Environment and climate change",'1. All Data'!$H$3:$H$136,"Completed Behind Schedule")</f>
        <v>0</v>
      </c>
      <c r="D29" s="209">
        <f>C29/C35</f>
        <v>0</v>
      </c>
      <c r="E29" s="435">
        <f>D29+D30</f>
        <v>0</v>
      </c>
      <c r="F29" s="210">
        <f>C29/C36</f>
        <v>0</v>
      </c>
      <c r="G29" s="436">
        <f>F29+F30</f>
        <v>0</v>
      </c>
      <c r="I29" s="211" t="s">
        <v>33</v>
      </c>
      <c r="J29" s="208">
        <f>COUNTIFS('1. All Data'!$AB$3:$AB$136,"Environment and Climate Change",'1. All Data'!$M$3:$M$136,"Completed Behind Schedule")</f>
        <v>0</v>
      </c>
      <c r="K29" s="209">
        <f>J29/J35</f>
        <v>0</v>
      </c>
      <c r="L29" s="435">
        <f>K29+K30</f>
        <v>2.9411764705882353E-2</v>
      </c>
      <c r="M29" s="210">
        <f>J29/J36</f>
        <v>0</v>
      </c>
      <c r="N29" s="436">
        <f>M29+M30</f>
        <v>3.2258064516129031E-2</v>
      </c>
      <c r="P29" s="211" t="s">
        <v>33</v>
      </c>
      <c r="Q29" s="208">
        <f>COUNTIFS('1. All Data'!$AB$3:$AB$136,"Environment and Climate Change",'1. All Data'!$R$3:$R$136,"Completed Behind Schedule")</f>
        <v>1</v>
      </c>
      <c r="R29" s="209">
        <f>Q29/Q35</f>
        <v>2.9411764705882353E-2</v>
      </c>
      <c r="S29" s="435">
        <f>R29+R30</f>
        <v>2.9411764705882353E-2</v>
      </c>
      <c r="T29" s="210">
        <f>Q29/Q36</f>
        <v>3.0303030303030304E-2</v>
      </c>
      <c r="U29" s="436">
        <f>T29+T30</f>
        <v>3.0303030303030304E-2</v>
      </c>
      <c r="W29" s="171" t="s">
        <v>27</v>
      </c>
      <c r="X29" s="208">
        <f>COUNTIFS('1. All Data'!$AB$3:$AB$136,"Environment and Climate Change",'1. All Data'!$V$3:$V$136,"Completed Significantly After Target Deadline")</f>
        <v>1</v>
      </c>
      <c r="Y29" s="209">
        <f>X29/X35</f>
        <v>2.9411764705882353E-2</v>
      </c>
      <c r="Z29" s="435">
        <f>Y29+Y30</f>
        <v>5.8823529411764705E-2</v>
      </c>
      <c r="AA29" s="209">
        <f>X29/X36</f>
        <v>2.9411764705882353E-2</v>
      </c>
      <c r="AB29" s="414">
        <f>AA29+AA30</f>
        <v>5.8823529411764705E-2</v>
      </c>
      <c r="AC29" s="166"/>
    </row>
    <row r="30" spans="2:29" ht="20.25" customHeight="1">
      <c r="B30" s="211" t="s">
        <v>26</v>
      </c>
      <c r="C30" s="208">
        <f>COUNTIFS('1. All Data'!$AB$3:$AB$136,"Environment and climate change",'1. All Data'!$H$3:$H$136,"Off Target")</f>
        <v>0</v>
      </c>
      <c r="D30" s="209">
        <f>C30/C35</f>
        <v>0</v>
      </c>
      <c r="E30" s="435"/>
      <c r="F30" s="210">
        <f>C30/C36</f>
        <v>0</v>
      </c>
      <c r="G30" s="436"/>
      <c r="I30" s="211" t="s">
        <v>26</v>
      </c>
      <c r="J30" s="208">
        <f>COUNTIFS('1. All Data'!$AB$3:$AB$136,"Environment and Climate Change",'1. All Data'!$M$3:$M$136,"Off Target")</f>
        <v>1</v>
      </c>
      <c r="K30" s="209">
        <f>J30/J35</f>
        <v>2.9411764705882353E-2</v>
      </c>
      <c r="L30" s="435"/>
      <c r="M30" s="210">
        <f>J30/J36</f>
        <v>3.2258064516129031E-2</v>
      </c>
      <c r="N30" s="436"/>
      <c r="P30" s="211" t="s">
        <v>26</v>
      </c>
      <c r="Q30" s="208">
        <f>COUNTIFS('1. All Data'!$AB$3:$AB$136,"Environment and Climate Change",'1. All Data'!$R$3:$R$136,"Off Target")</f>
        <v>0</v>
      </c>
      <c r="R30" s="209">
        <f>Q30/Q35</f>
        <v>0</v>
      </c>
      <c r="S30" s="435"/>
      <c r="T30" s="210">
        <f>Q30/Q36</f>
        <v>0</v>
      </c>
      <c r="U30" s="436"/>
      <c r="W30" s="171" t="s">
        <v>26</v>
      </c>
      <c r="X30" s="208">
        <f>COUNTIFS('1. All Data'!$AB$3:$AB$136,"Environment and Climate Change",'1. All Data'!$V$3:$V$136,"Off Target")</f>
        <v>1</v>
      </c>
      <c r="Y30" s="209">
        <f>X30/X35</f>
        <v>2.9411764705882353E-2</v>
      </c>
      <c r="Z30" s="435"/>
      <c r="AA30" s="209">
        <f>X30/X36</f>
        <v>2.9411764705882353E-2</v>
      </c>
      <c r="AB30" s="414"/>
      <c r="AC30" s="166"/>
    </row>
    <row r="31" spans="2:29" ht="15" customHeight="1">
      <c r="B31" s="212" t="s">
        <v>49</v>
      </c>
      <c r="C31" s="208">
        <f>COUNTIFS('1. All Data'!$AB$3:$AB$136,"Environment and climate change",'1. All Data'!$H$3:$H$136,"Not yet due")</f>
        <v>16</v>
      </c>
      <c r="D31" s="213">
        <f>C31/C35</f>
        <v>0.47058823529411764</v>
      </c>
      <c r="E31" s="213">
        <f>D31</f>
        <v>0.47058823529411764</v>
      </c>
      <c r="F31" s="214"/>
      <c r="G31" s="58"/>
      <c r="I31" s="212" t="s">
        <v>49</v>
      </c>
      <c r="J31" s="208">
        <f>COUNTIFS('1. All Data'!$AB$3:$AB$136,"Environment and Climate Change",'1. All Data'!$M$3:$M$136,"Not yet due")</f>
        <v>3</v>
      </c>
      <c r="K31" s="213">
        <f>J31/J35</f>
        <v>8.8235294117647065E-2</v>
      </c>
      <c r="L31" s="213">
        <f>K31</f>
        <v>8.8235294117647065E-2</v>
      </c>
      <c r="M31" s="214"/>
      <c r="N31" s="58"/>
      <c r="P31" s="212" t="s">
        <v>49</v>
      </c>
      <c r="Q31" s="208">
        <f>COUNTIFS('1. All Data'!$AB$3:$AB$136,"Environment and Climate Change",'1. All Data'!$R$3:$R$136,"Not yet due")</f>
        <v>1</v>
      </c>
      <c r="R31" s="213">
        <f>Q31/Q35</f>
        <v>2.9411764705882353E-2</v>
      </c>
      <c r="S31" s="213">
        <f>R31</f>
        <v>2.9411764705882353E-2</v>
      </c>
      <c r="T31" s="214"/>
      <c r="U31" s="58"/>
      <c r="W31" s="172" t="s">
        <v>49</v>
      </c>
      <c r="X31" s="208">
        <f>COUNTIFS('1. All Data'!$AB$3:$AB$136,"Environment and Climate Change",'1. All Data'!$V$3:$V$136,"Not yet due")</f>
        <v>0</v>
      </c>
      <c r="Y31" s="213">
        <f>X31/X35</f>
        <v>0</v>
      </c>
      <c r="Z31" s="213">
        <f>Y31</f>
        <v>0</v>
      </c>
      <c r="AA31" s="174"/>
      <c r="AB31" s="58"/>
      <c r="AC31" s="166"/>
    </row>
    <row r="32" spans="2:29" ht="15" customHeight="1">
      <c r="B32" s="212" t="s">
        <v>21</v>
      </c>
      <c r="C32" s="208">
        <f>COUNTIFS('1. All Data'!$AB$3:$AB$136,"Environment and climate change",'1. All Data'!$H$3:$H$136,"Update not provided")</f>
        <v>0</v>
      </c>
      <c r="D32" s="213">
        <f>C32/C35</f>
        <v>0</v>
      </c>
      <c r="E32" s="213">
        <f>D32</f>
        <v>0</v>
      </c>
      <c r="F32" s="214"/>
      <c r="G32" s="2"/>
      <c r="I32" s="212" t="s">
        <v>21</v>
      </c>
      <c r="J32" s="208">
        <f>COUNTIFS('1. All Data'!$AB$3:$AB$136,"Environment and Climate Change",'1. All Data'!$M$3:$M$136,"Update not provided")</f>
        <v>0</v>
      </c>
      <c r="K32" s="213">
        <f>J32/J35</f>
        <v>0</v>
      </c>
      <c r="L32" s="213">
        <f>K32</f>
        <v>0</v>
      </c>
      <c r="M32" s="214"/>
      <c r="N32" s="2"/>
      <c r="P32" s="212" t="s">
        <v>21</v>
      </c>
      <c r="Q32" s="208">
        <f>COUNTIFS('1. All Data'!$AB$3:$AB$136,"Environment and Climate Change",'1. All Data'!$R$3:$R$136,"Update not provided")</f>
        <v>0</v>
      </c>
      <c r="R32" s="213">
        <f>Q32/Q35</f>
        <v>0</v>
      </c>
      <c r="S32" s="213">
        <f>R32</f>
        <v>0</v>
      </c>
      <c r="T32" s="214"/>
      <c r="U32" s="2"/>
      <c r="W32" s="172" t="s">
        <v>21</v>
      </c>
      <c r="X32" s="208">
        <f>COUNTIFS('1. All Data'!$AB$3:$AB$136,"Environment and Climate Change",'1. All Data'!$V$3:$V$136,"Update not provided")</f>
        <v>0</v>
      </c>
      <c r="Y32" s="213">
        <f>X32/X35</f>
        <v>0</v>
      </c>
      <c r="Z32" s="213">
        <f>Y32</f>
        <v>0</v>
      </c>
      <c r="AA32" s="174"/>
      <c r="AB32" s="2"/>
      <c r="AC32" s="166"/>
    </row>
    <row r="33" spans="2:29" ht="15.75" customHeight="1">
      <c r="B33" s="215" t="s">
        <v>29</v>
      </c>
      <c r="C33" s="208">
        <f>COUNTIFS('1. All Data'!$AB$3:$AB$136,"Environment and climate change",'1. All Data'!$H$3:$H$136,"Deferred")</f>
        <v>0</v>
      </c>
      <c r="D33" s="216">
        <f>C33/C35</f>
        <v>0</v>
      </c>
      <c r="E33" s="216">
        <f>D33</f>
        <v>0</v>
      </c>
      <c r="F33" s="217"/>
      <c r="G33" s="58"/>
      <c r="I33" s="215" t="s">
        <v>29</v>
      </c>
      <c r="J33" s="208">
        <f>COUNTIFS('1. All Data'!$AB$3:$AB$136,"Environment and Climate Change",'1. All Data'!$M$3:$M$136,"Deferred")</f>
        <v>0</v>
      </c>
      <c r="K33" s="216">
        <f>J33/J35</f>
        <v>0</v>
      </c>
      <c r="L33" s="216">
        <f>K33</f>
        <v>0</v>
      </c>
      <c r="M33" s="217"/>
      <c r="N33" s="58"/>
      <c r="P33" s="215" t="s">
        <v>29</v>
      </c>
      <c r="Q33" s="208">
        <f>COUNTIFS('1. All Data'!$AB$3:$AB$136,"Environment and Climate Change",'1. All Data'!$R$3:$R$136,"Deferred")</f>
        <v>0</v>
      </c>
      <c r="R33" s="216">
        <f>Q33/Q35</f>
        <v>0</v>
      </c>
      <c r="S33" s="216">
        <f>R33</f>
        <v>0</v>
      </c>
      <c r="T33" s="217"/>
      <c r="U33" s="58"/>
      <c r="W33" s="175" t="s">
        <v>29</v>
      </c>
      <c r="X33" s="208">
        <f>COUNTIFS('1. All Data'!$AB$3:$AB$136,"Environment and Climate Change",'1. All Data'!$V$3:$V$136,"Deferred")</f>
        <v>0</v>
      </c>
      <c r="Y33" s="216">
        <f>X33/X35</f>
        <v>0</v>
      </c>
      <c r="Z33" s="216">
        <f>Y33</f>
        <v>0</v>
      </c>
      <c r="AA33" s="177"/>
      <c r="AB33" s="58"/>
      <c r="AC33" s="166"/>
    </row>
    <row r="34" spans="2:29" ht="15.75" customHeight="1">
      <c r="B34" s="215" t="s">
        <v>30</v>
      </c>
      <c r="C34" s="208">
        <f>COUNTIFS('1. All Data'!$AB$3:$AB$136,"Environment and climate change",'1. All Data'!$H$3:$H$136,"Deleted")</f>
        <v>0</v>
      </c>
      <c r="D34" s="216">
        <f>C34/C35</f>
        <v>0</v>
      </c>
      <c r="E34" s="216">
        <f>D34</f>
        <v>0</v>
      </c>
      <c r="F34" s="217"/>
      <c r="G34" s="29"/>
      <c r="I34" s="215" t="s">
        <v>30</v>
      </c>
      <c r="J34" s="208">
        <f>COUNTIFS('1. All Data'!$AB$3:$AB$136,"Environment and Climate Change",'1. All Data'!$M$3:$M$136,"Deleted")</f>
        <v>0</v>
      </c>
      <c r="K34" s="216">
        <f>J34/J35</f>
        <v>0</v>
      </c>
      <c r="L34" s="216">
        <f>K34</f>
        <v>0</v>
      </c>
      <c r="M34" s="217"/>
      <c r="N34" s="29"/>
      <c r="P34" s="215" t="s">
        <v>30</v>
      </c>
      <c r="Q34" s="208">
        <f>COUNTIFS('1. All Data'!$AB$3:$AB$136,"Environment and Climate Change",'1. All Data'!$R$3:$R$136,"Deleted")</f>
        <v>0</v>
      </c>
      <c r="R34" s="216">
        <f>Q34/Q35</f>
        <v>0</v>
      </c>
      <c r="S34" s="216">
        <f>R34</f>
        <v>0</v>
      </c>
      <c r="T34" s="217"/>
      <c r="U34" s="29"/>
      <c r="W34" s="175" t="s">
        <v>30</v>
      </c>
      <c r="X34" s="208">
        <f>COUNTIFS('1. All Data'!$AB$3:$AB$136,"Environment and Climate Change",'1. All Data'!$V$3:$V$136,"Deleted")</f>
        <v>0</v>
      </c>
      <c r="Y34" s="216">
        <f>X34/X35</f>
        <v>0</v>
      </c>
      <c r="Z34" s="216">
        <f>Y34</f>
        <v>0</v>
      </c>
      <c r="AA34" s="177"/>
      <c r="AB34" s="3"/>
      <c r="AC34" s="166"/>
    </row>
    <row r="35" spans="2:29" ht="15.75" customHeight="1">
      <c r="B35" s="218" t="s">
        <v>51</v>
      </c>
      <c r="C35" s="219">
        <f>SUM(C24:C34)</f>
        <v>34</v>
      </c>
      <c r="D35" s="177"/>
      <c r="E35" s="177"/>
      <c r="F35" s="220"/>
      <c r="G35" s="58"/>
      <c r="I35" s="218" t="s">
        <v>51</v>
      </c>
      <c r="J35" s="219">
        <f>SUM(J24:J34)</f>
        <v>34</v>
      </c>
      <c r="K35" s="177"/>
      <c r="L35" s="177"/>
      <c r="M35" s="220"/>
      <c r="N35" s="58"/>
      <c r="P35" s="218" t="s">
        <v>51</v>
      </c>
      <c r="Q35" s="219">
        <f>SUM(Q24:Q34)</f>
        <v>34</v>
      </c>
      <c r="R35" s="177"/>
      <c r="S35" s="177"/>
      <c r="T35" s="220"/>
      <c r="U35" s="58"/>
      <c r="W35" s="178" t="s">
        <v>51</v>
      </c>
      <c r="X35" s="219">
        <f>SUM(X24:X34)</f>
        <v>34</v>
      </c>
      <c r="Y35" s="177"/>
      <c r="Z35" s="177"/>
      <c r="AA35" s="58"/>
      <c r="AB35" s="58"/>
      <c r="AC35" s="166"/>
    </row>
    <row r="36" spans="2:29" ht="15.75" customHeight="1">
      <c r="B36" s="218" t="s">
        <v>52</v>
      </c>
      <c r="C36" s="219">
        <f>C35-C34-C33-C32-C31</f>
        <v>18</v>
      </c>
      <c r="D36" s="58"/>
      <c r="E36" s="58"/>
      <c r="F36" s="220"/>
      <c r="G36" s="58"/>
      <c r="I36" s="218" t="s">
        <v>52</v>
      </c>
      <c r="J36" s="219">
        <f>J35-J34-J33-J32-J31</f>
        <v>31</v>
      </c>
      <c r="K36" s="58"/>
      <c r="L36" s="58"/>
      <c r="M36" s="220"/>
      <c r="N36" s="58"/>
      <c r="P36" s="218" t="s">
        <v>52</v>
      </c>
      <c r="Q36" s="219">
        <f>Q35-Q34-Q33-Q32-Q31</f>
        <v>33</v>
      </c>
      <c r="R36" s="58"/>
      <c r="S36" s="58"/>
      <c r="T36" s="220"/>
      <c r="U36" s="58"/>
      <c r="W36" s="178" t="s">
        <v>52</v>
      </c>
      <c r="X36" s="219">
        <f>X35-X34-X33-X32-X31</f>
        <v>34</v>
      </c>
      <c r="Y36" s="58"/>
      <c r="Z36" s="58"/>
      <c r="AA36" s="58"/>
      <c r="AB36" s="58"/>
      <c r="AC36" s="166"/>
    </row>
    <row r="37" spans="2:29" ht="15.75" customHeight="1">
      <c r="W37" s="180"/>
      <c r="AA37" s="2"/>
      <c r="AC37" s="166"/>
    </row>
    <row r="38" spans="2:29" ht="15.75" customHeight="1">
      <c r="W38" s="165"/>
      <c r="X38" s="165"/>
      <c r="Y38" s="165"/>
      <c r="Z38" s="165"/>
      <c r="AA38" s="165"/>
      <c r="AB38" s="186"/>
      <c r="AC38" s="166"/>
    </row>
    <row r="39" spans="2:29" s="166" customFormat="1" ht="15.75" customHeight="1">
      <c r="B39" s="187"/>
      <c r="C39" s="165"/>
      <c r="D39" s="165"/>
      <c r="E39" s="165"/>
      <c r="F39" s="220"/>
      <c r="G39" s="165"/>
      <c r="I39" s="187"/>
      <c r="J39" s="165"/>
      <c r="K39" s="165"/>
      <c r="L39" s="165"/>
      <c r="M39" s="220"/>
      <c r="N39" s="165"/>
      <c r="P39" s="187"/>
      <c r="Q39" s="165"/>
      <c r="R39" s="165"/>
      <c r="S39" s="165"/>
      <c r="T39" s="220"/>
      <c r="U39" s="165"/>
      <c r="W39" s="221"/>
      <c r="X39" s="58"/>
      <c r="Y39" s="58"/>
      <c r="Z39" s="58"/>
      <c r="AA39" s="58"/>
      <c r="AB39" s="177"/>
    </row>
    <row r="40" spans="2:29" s="166" customFormat="1" ht="15.75" customHeight="1">
      <c r="B40" s="203" t="s">
        <v>204</v>
      </c>
      <c r="C40" s="204"/>
      <c r="D40" s="204"/>
      <c r="E40" s="204"/>
      <c r="F40" s="205"/>
      <c r="G40" s="204"/>
      <c r="I40" s="203" t="s">
        <v>204</v>
      </c>
      <c r="J40" s="204"/>
      <c r="K40" s="204"/>
      <c r="L40" s="204"/>
      <c r="M40" s="205"/>
      <c r="N40" s="204"/>
      <c r="P40" s="203" t="s">
        <v>204</v>
      </c>
      <c r="Q40" s="204"/>
      <c r="R40" s="204"/>
      <c r="S40" s="204"/>
      <c r="T40" s="205"/>
      <c r="U40" s="204"/>
      <c r="W40" s="203" t="s">
        <v>204</v>
      </c>
      <c r="X40" s="204"/>
      <c r="Y40" s="204"/>
      <c r="Z40" s="204"/>
      <c r="AA40" s="205"/>
      <c r="AB40" s="204"/>
    </row>
    <row r="41" spans="2:29" ht="36" customHeight="1">
      <c r="B41" s="206" t="s">
        <v>42</v>
      </c>
      <c r="C41" s="207" t="s">
        <v>43</v>
      </c>
      <c r="D41" s="207" t="s">
        <v>44</v>
      </c>
      <c r="E41" s="207" t="s">
        <v>45</v>
      </c>
      <c r="F41" s="206" t="s">
        <v>46</v>
      </c>
      <c r="G41" s="207" t="s">
        <v>47</v>
      </c>
      <c r="I41" s="206" t="s">
        <v>42</v>
      </c>
      <c r="J41" s="207" t="s">
        <v>43</v>
      </c>
      <c r="K41" s="207" t="s">
        <v>44</v>
      </c>
      <c r="L41" s="207" t="s">
        <v>45</v>
      </c>
      <c r="M41" s="206" t="s">
        <v>46</v>
      </c>
      <c r="N41" s="207" t="s">
        <v>47</v>
      </c>
      <c r="P41" s="206" t="s">
        <v>42</v>
      </c>
      <c r="Q41" s="207" t="s">
        <v>43</v>
      </c>
      <c r="R41" s="207" t="s">
        <v>44</v>
      </c>
      <c r="S41" s="207" t="s">
        <v>45</v>
      </c>
      <c r="T41" s="206" t="s">
        <v>46</v>
      </c>
      <c r="U41" s="207" t="s">
        <v>47</v>
      </c>
      <c r="W41" s="164" t="s">
        <v>42</v>
      </c>
      <c r="X41" s="164" t="s">
        <v>43</v>
      </c>
      <c r="Y41" s="164" t="s">
        <v>44</v>
      </c>
      <c r="Z41" s="164" t="s">
        <v>45</v>
      </c>
      <c r="AA41" s="164" t="s">
        <v>46</v>
      </c>
      <c r="AB41" s="164" t="s">
        <v>47</v>
      </c>
      <c r="AC41" s="166"/>
    </row>
    <row r="42" spans="2:29" ht="18.75" customHeight="1">
      <c r="B42" s="228" t="s">
        <v>48</v>
      </c>
      <c r="C42" s="208">
        <f>COUNTIFS('1. All Data'!$AB$3:$AB$136,"Finance and treasury management",'1. All Data'!$H$3:$H$136,"Fully Achieved")</f>
        <v>0</v>
      </c>
      <c r="D42" s="209">
        <f>C42/C53</f>
        <v>0</v>
      </c>
      <c r="E42" s="435">
        <f>D42+D43</f>
        <v>0.69230769230769229</v>
      </c>
      <c r="F42" s="210">
        <f>C42/C54</f>
        <v>0</v>
      </c>
      <c r="G42" s="437">
        <f>F42+F43</f>
        <v>1</v>
      </c>
      <c r="I42" s="228" t="s">
        <v>48</v>
      </c>
      <c r="J42" s="208">
        <f>COUNTIFS('1. All Data'!$AB$3:$AB$136,"Finance and Treasury Management",'1. All Data'!$M$3:$M$136,"Fully Achieved")</f>
        <v>0</v>
      </c>
      <c r="K42" s="209">
        <f>J42/J53</f>
        <v>0</v>
      </c>
      <c r="L42" s="435">
        <f>K42+K43</f>
        <v>0.92307692307692313</v>
      </c>
      <c r="M42" s="210">
        <f>J42/J54</f>
        <v>0</v>
      </c>
      <c r="N42" s="437">
        <f>M42+M43</f>
        <v>1</v>
      </c>
      <c r="P42" s="228" t="s">
        <v>48</v>
      </c>
      <c r="Q42" s="208">
        <f>COUNTIFS('1. All Data'!$AB$3:$AB$136,"Finance and Treasury Management",'1. All Data'!$R$3:$R$136,"Fully Achieved")</f>
        <v>1</v>
      </c>
      <c r="R42" s="209">
        <f>Q42/Q53</f>
        <v>7.6923076923076927E-2</v>
      </c>
      <c r="S42" s="435">
        <f>R42+R43</f>
        <v>1</v>
      </c>
      <c r="T42" s="210">
        <f>Q42/Q54</f>
        <v>7.6923076923076927E-2</v>
      </c>
      <c r="U42" s="437">
        <f>T42+T43</f>
        <v>1</v>
      </c>
      <c r="W42" s="228" t="s">
        <v>48</v>
      </c>
      <c r="X42" s="208">
        <f>COUNTIFS('1. All Data'!$AB$3:$AB$136,"Finance and Treasury Management",'1. All Data'!$V$3:$V$136,"Fully Achieved")</f>
        <v>10</v>
      </c>
      <c r="Y42" s="209">
        <f>X42/X53</f>
        <v>0.76923076923076927</v>
      </c>
      <c r="Z42" s="435">
        <f>Y42+Y43</f>
        <v>1</v>
      </c>
      <c r="AA42" s="209">
        <f>X42/X54</f>
        <v>0.76923076923076927</v>
      </c>
      <c r="AB42" s="415">
        <f>AA42+AA43</f>
        <v>1</v>
      </c>
      <c r="AC42" s="166"/>
    </row>
    <row r="43" spans="2:29" ht="18.75" customHeight="1">
      <c r="B43" s="228" t="s">
        <v>31</v>
      </c>
      <c r="C43" s="208">
        <f>COUNTIFS('1. All Data'!$AB$3:$AB$136,"Finance and treasury management",'1. All Data'!$H$3:$H$136,"On Track to be Achieved")</f>
        <v>9</v>
      </c>
      <c r="D43" s="209">
        <f>C43/C53</f>
        <v>0.69230769230769229</v>
      </c>
      <c r="E43" s="435"/>
      <c r="F43" s="210">
        <f>C43/C54</f>
        <v>1</v>
      </c>
      <c r="G43" s="437"/>
      <c r="I43" s="228" t="s">
        <v>31</v>
      </c>
      <c r="J43" s="208">
        <f>COUNTIFS('1. All Data'!$AB$3:$AB$136,"Finance and Treasury Management",'1. All Data'!$M$3:$M$136,"On Track to be Achieved")</f>
        <v>12</v>
      </c>
      <c r="K43" s="209">
        <f>J43/J53</f>
        <v>0.92307692307692313</v>
      </c>
      <c r="L43" s="435"/>
      <c r="M43" s="210">
        <f>J43/J54</f>
        <v>1</v>
      </c>
      <c r="N43" s="437"/>
      <c r="P43" s="228" t="s">
        <v>31</v>
      </c>
      <c r="Q43" s="208">
        <f>COUNTIFS('1. All Data'!$AB$3:$AB$136,"Finance and Treasury Management",'1. All Data'!$R$3:$R$136,"On Track to be Achieved")</f>
        <v>12</v>
      </c>
      <c r="R43" s="209">
        <f>Q43/Q53</f>
        <v>0.92307692307692313</v>
      </c>
      <c r="S43" s="435"/>
      <c r="T43" s="210">
        <f>Q43/Q54</f>
        <v>0.92307692307692313</v>
      </c>
      <c r="U43" s="437"/>
      <c r="W43" s="228" t="s">
        <v>23</v>
      </c>
      <c r="X43" s="208">
        <f>COUNTIFS('1. All Data'!$AB$3:$AB$136,"Finance and Treasury Management",'1. All Data'!$V$3:$V$136,"Numerical Outturn Within 5% Tolerance")</f>
        <v>3</v>
      </c>
      <c r="Y43" s="209">
        <f>X43/X53</f>
        <v>0.23076923076923078</v>
      </c>
      <c r="Z43" s="435"/>
      <c r="AA43" s="209">
        <f>X43/X54</f>
        <v>0.23076923076923078</v>
      </c>
      <c r="AB43" s="415"/>
      <c r="AC43" s="166"/>
    </row>
    <row r="44" spans="2:29" ht="16.5" customHeight="1">
      <c r="B44" s="447" t="s">
        <v>32</v>
      </c>
      <c r="C44" s="450">
        <f>COUNTIFS('1. All Data'!$AB$3:$AB$136,"Finance and treasury management",'1. All Data'!$H$3:$H$136,"In Danger of Falling Behind Target")</f>
        <v>0</v>
      </c>
      <c r="D44" s="438">
        <f>C44/C53</f>
        <v>0</v>
      </c>
      <c r="E44" s="438">
        <f>D44</f>
        <v>0</v>
      </c>
      <c r="F44" s="441">
        <f>C44/C54</f>
        <v>0</v>
      </c>
      <c r="G44" s="444">
        <f>F44</f>
        <v>0</v>
      </c>
      <c r="I44" s="447" t="s">
        <v>32</v>
      </c>
      <c r="J44" s="450">
        <f>COUNTIFS('1. All Data'!$AB$3:$AB$136,"Finance and Treasury Management",'1. All Data'!$M$3:$M$136,"In Danger of Falling Behind Target")</f>
        <v>0</v>
      </c>
      <c r="K44" s="438">
        <f>J44/J53</f>
        <v>0</v>
      </c>
      <c r="L44" s="438">
        <f>K44</f>
        <v>0</v>
      </c>
      <c r="M44" s="441">
        <f>J44/J54</f>
        <v>0</v>
      </c>
      <c r="N44" s="444">
        <f>M44</f>
        <v>0</v>
      </c>
      <c r="P44" s="447" t="s">
        <v>32</v>
      </c>
      <c r="Q44" s="450">
        <f>COUNTIFS('1. All Data'!$AB$3:$AB$136,"Finance and Treasury Management",'1. All Data'!$R$3:$R$136,"In Danger of Falling Behind Target")</f>
        <v>0</v>
      </c>
      <c r="R44" s="438">
        <f>Q44/Q53</f>
        <v>0</v>
      </c>
      <c r="S44" s="438">
        <f>R44</f>
        <v>0</v>
      </c>
      <c r="T44" s="441">
        <f>Q44/Q54</f>
        <v>0</v>
      </c>
      <c r="U44" s="444">
        <f>T44</f>
        <v>0</v>
      </c>
      <c r="W44" s="169" t="s">
        <v>24</v>
      </c>
      <c r="X44" s="170">
        <f>COUNTIFS('1. All Data'!$AB$3:$AB$136,"Finance and Treasury Management",'1. All Data'!$V$3:$V$136,"Numerical Outturn Within 10% Tolerance")</f>
        <v>0</v>
      </c>
      <c r="Y44" s="168">
        <f>X44/X53</f>
        <v>0</v>
      </c>
      <c r="Z44" s="413">
        <f>SUM(Y44:Y46)</f>
        <v>0</v>
      </c>
      <c r="AA44" s="168">
        <f>X44/X54</f>
        <v>0</v>
      </c>
      <c r="AB44" s="422">
        <f>SUM(AA44:AA46)</f>
        <v>0</v>
      </c>
      <c r="AC44" s="166"/>
    </row>
    <row r="45" spans="2:29" ht="16.5" customHeight="1">
      <c r="B45" s="448"/>
      <c r="C45" s="451"/>
      <c r="D45" s="439"/>
      <c r="E45" s="439"/>
      <c r="F45" s="442"/>
      <c r="G45" s="445"/>
      <c r="I45" s="448"/>
      <c r="J45" s="451"/>
      <c r="K45" s="439"/>
      <c r="L45" s="439"/>
      <c r="M45" s="442"/>
      <c r="N45" s="445"/>
      <c r="P45" s="448"/>
      <c r="Q45" s="451"/>
      <c r="R45" s="439"/>
      <c r="S45" s="439"/>
      <c r="T45" s="442"/>
      <c r="U45" s="445"/>
      <c r="W45" s="169" t="s">
        <v>25</v>
      </c>
      <c r="X45" s="170">
        <f>COUNTIFS('1. All Data'!$AB$3:$AB$136,"Finance and Treasury Management",'1. All Data'!$V$3:$V$136,"Target Partially Met")</f>
        <v>0</v>
      </c>
      <c r="Y45" s="168">
        <f>X45/X53</f>
        <v>0</v>
      </c>
      <c r="Z45" s="413"/>
      <c r="AA45" s="168">
        <f>X45/X54</f>
        <v>0</v>
      </c>
      <c r="AB45" s="422"/>
      <c r="AC45" s="166"/>
    </row>
    <row r="46" spans="2:29" ht="16.5" customHeight="1">
      <c r="B46" s="449"/>
      <c r="C46" s="452"/>
      <c r="D46" s="440"/>
      <c r="E46" s="440"/>
      <c r="F46" s="443"/>
      <c r="G46" s="446"/>
      <c r="I46" s="449"/>
      <c r="J46" s="452"/>
      <c r="K46" s="440"/>
      <c r="L46" s="440"/>
      <c r="M46" s="443"/>
      <c r="N46" s="446"/>
      <c r="P46" s="449"/>
      <c r="Q46" s="452"/>
      <c r="R46" s="440"/>
      <c r="S46" s="440"/>
      <c r="T46" s="443"/>
      <c r="U46" s="446"/>
      <c r="W46" s="169" t="s">
        <v>28</v>
      </c>
      <c r="X46" s="170">
        <f>COUNTIFS('1. All Data'!$AB$3:$AB$136,"Finance and Treasury Management",'1. All Data'!$V$3:$V$136,"Completion Date Within Reasonable Tolerance")</f>
        <v>0</v>
      </c>
      <c r="Y46" s="168">
        <f>X46/X53</f>
        <v>0</v>
      </c>
      <c r="Z46" s="413"/>
      <c r="AA46" s="168">
        <f>X46/X54</f>
        <v>0</v>
      </c>
      <c r="AB46" s="422"/>
      <c r="AC46" s="166"/>
    </row>
    <row r="47" spans="2:29" ht="22.5" customHeight="1">
      <c r="B47" s="211" t="s">
        <v>33</v>
      </c>
      <c r="C47" s="208">
        <f>COUNTIFS('1. All Data'!$AB$3:$AB$136,"Finance and treasury management",'1. All Data'!$H$3:$H$136,"Completed Behind Schedule")</f>
        <v>0</v>
      </c>
      <c r="D47" s="209">
        <f>C47/C53</f>
        <v>0</v>
      </c>
      <c r="E47" s="435">
        <f>D47+D48</f>
        <v>0</v>
      </c>
      <c r="F47" s="210">
        <f>C47/C54</f>
        <v>0</v>
      </c>
      <c r="G47" s="436">
        <f>F47+F48</f>
        <v>0</v>
      </c>
      <c r="I47" s="211" t="s">
        <v>33</v>
      </c>
      <c r="J47" s="208">
        <f>COUNTIFS('1. All Data'!$AB$3:$AB$136,"Finance and Treasury Management",'1. All Data'!$M$3:$M$136,"Completed Behind Schedule")</f>
        <v>0</v>
      </c>
      <c r="K47" s="209">
        <f>J47/J53</f>
        <v>0</v>
      </c>
      <c r="L47" s="435">
        <f>K47+K48</f>
        <v>0</v>
      </c>
      <c r="M47" s="210">
        <f>J47/J54</f>
        <v>0</v>
      </c>
      <c r="N47" s="436">
        <f>M47+M48</f>
        <v>0</v>
      </c>
      <c r="P47" s="211" t="s">
        <v>33</v>
      </c>
      <c r="Q47" s="208">
        <f>COUNTIFS('1. All Data'!$AB$3:$AB$136,"Finance and Treasury Management",'1. All Data'!$R$3:$R$136,"Completed Behind Schedule")</f>
        <v>0</v>
      </c>
      <c r="R47" s="209">
        <f>Q47/Q53</f>
        <v>0</v>
      </c>
      <c r="S47" s="435">
        <f>R47+R48</f>
        <v>0</v>
      </c>
      <c r="T47" s="210">
        <f>Q47/Q54</f>
        <v>0</v>
      </c>
      <c r="U47" s="436">
        <f>T47+T48</f>
        <v>0</v>
      </c>
      <c r="W47" s="171" t="s">
        <v>27</v>
      </c>
      <c r="X47" s="208">
        <f>COUNTIFS('1. All Data'!$AB$3:$AB$136,"Finance and Treasury Management",'1. All Data'!$V$3:$V$136,"Completed Significantly After Target Deadline")</f>
        <v>0</v>
      </c>
      <c r="Y47" s="209">
        <f>X47/X53</f>
        <v>0</v>
      </c>
      <c r="Z47" s="435">
        <f>Y47+Y48</f>
        <v>0</v>
      </c>
      <c r="AA47" s="209">
        <f>X47/X54</f>
        <v>0</v>
      </c>
      <c r="AB47" s="414">
        <f>AA47+AA48</f>
        <v>0</v>
      </c>
      <c r="AC47" s="166"/>
    </row>
    <row r="48" spans="2:29" ht="22.5" customHeight="1">
      <c r="B48" s="211" t="s">
        <v>26</v>
      </c>
      <c r="C48" s="208">
        <f>COUNTIFS('1. All Data'!$AB$3:$AB$136,"Finance and treasury management",'1. All Data'!$H$3:$H$136,"Off Target")</f>
        <v>0</v>
      </c>
      <c r="D48" s="209">
        <f>C48/C53</f>
        <v>0</v>
      </c>
      <c r="E48" s="435"/>
      <c r="F48" s="210">
        <f>C48/C54</f>
        <v>0</v>
      </c>
      <c r="G48" s="436"/>
      <c r="I48" s="211" t="s">
        <v>26</v>
      </c>
      <c r="J48" s="208">
        <f>COUNTIFS('1. All Data'!$AB$3:$AB$136,"Finance and Treasury Management",'1. All Data'!$M$3:$M$136,"Off Target")</f>
        <v>0</v>
      </c>
      <c r="K48" s="209">
        <f>J48/J53</f>
        <v>0</v>
      </c>
      <c r="L48" s="435"/>
      <c r="M48" s="210">
        <f>J48/J54</f>
        <v>0</v>
      </c>
      <c r="N48" s="436"/>
      <c r="P48" s="211" t="s">
        <v>26</v>
      </c>
      <c r="Q48" s="208">
        <f>COUNTIFS('1. All Data'!$AB$3:$AB$136,"Finance and Treasury Management",'1. All Data'!$R$3:$R$136,"Off Target")</f>
        <v>0</v>
      </c>
      <c r="R48" s="209">
        <f>Q48/Q53</f>
        <v>0</v>
      </c>
      <c r="S48" s="435"/>
      <c r="T48" s="210">
        <f>Q48/Q54</f>
        <v>0</v>
      </c>
      <c r="U48" s="436"/>
      <c r="W48" s="171" t="s">
        <v>26</v>
      </c>
      <c r="X48" s="208">
        <f>COUNTIFS('1. All Data'!$AB$3:$AB$136,"Finance and Treasury Management",'1. All Data'!$V$3:$V$136,"Off Target")</f>
        <v>0</v>
      </c>
      <c r="Y48" s="209">
        <f>X48/X53</f>
        <v>0</v>
      </c>
      <c r="Z48" s="435"/>
      <c r="AA48" s="209">
        <f>X48/X54</f>
        <v>0</v>
      </c>
      <c r="AB48" s="414"/>
      <c r="AC48" s="166"/>
    </row>
    <row r="49" spans="2:29" ht="15.75" customHeight="1">
      <c r="B49" s="212" t="s">
        <v>49</v>
      </c>
      <c r="C49" s="208">
        <f>COUNTIFS('1. All Data'!$AB$3:$AB$136,"Finance and treasury management",'1. All Data'!$H$3:$H$136,"Not yet due")</f>
        <v>4</v>
      </c>
      <c r="D49" s="213">
        <f>C49/C53</f>
        <v>0.30769230769230771</v>
      </c>
      <c r="E49" s="213">
        <f>D49</f>
        <v>0.30769230769230771</v>
      </c>
      <c r="F49" s="214"/>
      <c r="G49" s="58"/>
      <c r="I49" s="212" t="s">
        <v>49</v>
      </c>
      <c r="J49" s="208">
        <f>COUNTIFS('1. All Data'!$AB$3:$AB$136,"Finance and Treasury Management",'1. All Data'!$M$3:$M$136,"Not yet due")</f>
        <v>1</v>
      </c>
      <c r="K49" s="213">
        <f>J49/J53</f>
        <v>7.6923076923076927E-2</v>
      </c>
      <c r="L49" s="213">
        <f>K49</f>
        <v>7.6923076923076927E-2</v>
      </c>
      <c r="M49" s="214"/>
      <c r="N49" s="58"/>
      <c r="P49" s="212" t="s">
        <v>49</v>
      </c>
      <c r="Q49" s="208">
        <f>COUNTIFS('1. All Data'!$AB$3:$AB$136,"Finance and Treasury Management",'1. All Data'!$R$3:$R$136,"Not yet due")</f>
        <v>0</v>
      </c>
      <c r="R49" s="213">
        <f>Q49/Q53</f>
        <v>0</v>
      </c>
      <c r="S49" s="213">
        <f>R49</f>
        <v>0</v>
      </c>
      <c r="T49" s="214"/>
      <c r="U49" s="58"/>
      <c r="W49" s="172" t="s">
        <v>49</v>
      </c>
      <c r="X49" s="208">
        <f>COUNTIFS('1. All Data'!$AB$3:$AB$136,"Finance and Treasury Management",'1. All Data'!$V$3:$V$136,"Not yet due")</f>
        <v>0</v>
      </c>
      <c r="Y49" s="213">
        <f>X49/X53</f>
        <v>0</v>
      </c>
      <c r="Z49" s="213">
        <f>Y49</f>
        <v>0</v>
      </c>
      <c r="AA49" s="174"/>
      <c r="AB49" s="58"/>
      <c r="AC49" s="166"/>
    </row>
    <row r="50" spans="2:29" ht="15.75" customHeight="1">
      <c r="B50" s="212" t="s">
        <v>21</v>
      </c>
      <c r="C50" s="208">
        <f>COUNTIFS('1. All Data'!$AB$3:$AB$136,"Finance and treasury management",'1. All Data'!$H$3:$H$136,"Update not provided")</f>
        <v>0</v>
      </c>
      <c r="D50" s="213">
        <f>C50/C53</f>
        <v>0</v>
      </c>
      <c r="E50" s="213">
        <f>D50</f>
        <v>0</v>
      </c>
      <c r="F50" s="214"/>
      <c r="G50" s="2"/>
      <c r="I50" s="212" t="s">
        <v>21</v>
      </c>
      <c r="J50" s="208">
        <f>COUNTIFS('1. All Data'!$AB$3:$AB$136,"Finance and Treasury Management",'1. All Data'!$M$3:$M$136,"Update not provided")</f>
        <v>0</v>
      </c>
      <c r="K50" s="213">
        <f>J50/J53</f>
        <v>0</v>
      </c>
      <c r="L50" s="213">
        <f>K50</f>
        <v>0</v>
      </c>
      <c r="M50" s="214"/>
      <c r="N50" s="2"/>
      <c r="P50" s="212" t="s">
        <v>21</v>
      </c>
      <c r="Q50" s="208">
        <f>COUNTIFS('1. All Data'!$AB$3:$AB$136,"Finance and Treasury Management",'1. All Data'!$R$3:$R$136,"Update not provided")</f>
        <v>0</v>
      </c>
      <c r="R50" s="213">
        <f>Q50/Q53</f>
        <v>0</v>
      </c>
      <c r="S50" s="213">
        <f>R50</f>
        <v>0</v>
      </c>
      <c r="T50" s="214"/>
      <c r="U50" s="2"/>
      <c r="W50" s="172" t="s">
        <v>21</v>
      </c>
      <c r="X50" s="208">
        <f>COUNTIFS('1. All Data'!$AB$3:$AB$136,"Finance and Treasury Management",'1. All Data'!$V$3:$V$136,"Update not provided")</f>
        <v>0</v>
      </c>
      <c r="Y50" s="213">
        <f>X50/X53</f>
        <v>0</v>
      </c>
      <c r="Z50" s="213">
        <f>Y50</f>
        <v>0</v>
      </c>
      <c r="AA50" s="174"/>
      <c r="AB50" s="2"/>
      <c r="AC50" s="166"/>
    </row>
    <row r="51" spans="2:29" ht="15.75" customHeight="1">
      <c r="B51" s="215" t="s">
        <v>29</v>
      </c>
      <c r="C51" s="208">
        <f>COUNTIFS('1. All Data'!$AB$3:$AB$136,"Finance and treasury management",'1. All Data'!$H$3:$H$136,"Deferred")</f>
        <v>0</v>
      </c>
      <c r="D51" s="216">
        <f>C51/C53</f>
        <v>0</v>
      </c>
      <c r="E51" s="216">
        <f>D51</f>
        <v>0</v>
      </c>
      <c r="F51" s="217"/>
      <c r="G51" s="58"/>
      <c r="I51" s="215" t="s">
        <v>29</v>
      </c>
      <c r="J51" s="208">
        <f>COUNTIFS('1. All Data'!$AB$3:$AB$136,"Finance and Treasury Management",'1. All Data'!$M$3:$M$136,"Deferred")</f>
        <v>0</v>
      </c>
      <c r="K51" s="216">
        <f>J51/J53</f>
        <v>0</v>
      </c>
      <c r="L51" s="216">
        <f>K51</f>
        <v>0</v>
      </c>
      <c r="M51" s="217"/>
      <c r="N51" s="58"/>
      <c r="P51" s="215" t="s">
        <v>29</v>
      </c>
      <c r="Q51" s="208">
        <f>COUNTIFS('1. All Data'!$AB$3:$AB$136,"Finance and Treasury Management",'1. All Data'!$R$3:$R$136,"Deferred")</f>
        <v>0</v>
      </c>
      <c r="R51" s="216">
        <f>Q51/Q53</f>
        <v>0</v>
      </c>
      <c r="S51" s="216">
        <f>R51</f>
        <v>0</v>
      </c>
      <c r="T51" s="217"/>
      <c r="U51" s="58"/>
      <c r="W51" s="175" t="s">
        <v>29</v>
      </c>
      <c r="X51" s="208">
        <f>COUNTIFS('1. All Data'!$AB$3:$AB$136,"Finance and Treasury Management",'1. All Data'!$V$3:$V$136,"Deferred")</f>
        <v>0</v>
      </c>
      <c r="Y51" s="216">
        <f>X51/X53</f>
        <v>0</v>
      </c>
      <c r="Z51" s="216">
        <f>Y51</f>
        <v>0</v>
      </c>
      <c r="AA51" s="177"/>
      <c r="AB51" s="58"/>
      <c r="AC51" s="166"/>
    </row>
    <row r="52" spans="2:29" ht="15.75" customHeight="1">
      <c r="B52" s="215" t="s">
        <v>30</v>
      </c>
      <c r="C52" s="208">
        <f>COUNTIFS('1. All Data'!$AB$3:$AB$136,"Finance and treasury management",'1. All Data'!$H$3:$H$136,"Deleted")</f>
        <v>0</v>
      </c>
      <c r="D52" s="216">
        <f>C52/C53</f>
        <v>0</v>
      </c>
      <c r="E52" s="216">
        <f>D52</f>
        <v>0</v>
      </c>
      <c r="F52" s="217"/>
      <c r="G52" s="29"/>
      <c r="I52" s="215" t="s">
        <v>30</v>
      </c>
      <c r="J52" s="208">
        <f>COUNTIFS('1. All Data'!$AB$3:$AB$136,"Finance and Treasury Management",'1. All Data'!$M$3:$M$136,"Deleted")</f>
        <v>0</v>
      </c>
      <c r="K52" s="216">
        <f>J52/J53</f>
        <v>0</v>
      </c>
      <c r="L52" s="216">
        <f>K52</f>
        <v>0</v>
      </c>
      <c r="M52" s="217"/>
      <c r="N52" s="29"/>
      <c r="P52" s="215" t="s">
        <v>30</v>
      </c>
      <c r="Q52" s="208">
        <f>COUNTIFS('1. All Data'!$AB$3:$AB$136,"Finance and Treasury Management",'1. All Data'!$R$3:$R$136,"Deleted")</f>
        <v>0</v>
      </c>
      <c r="R52" s="216">
        <f>Q52/Q53</f>
        <v>0</v>
      </c>
      <c r="S52" s="216">
        <f>R52</f>
        <v>0</v>
      </c>
      <c r="T52" s="217"/>
      <c r="U52" s="29"/>
      <c r="W52" s="175" t="s">
        <v>30</v>
      </c>
      <c r="X52" s="208">
        <f>COUNTIFS('1. All Data'!$AB$3:$AB$136,"Finance and Treasury Management",'1. All Data'!$V$3:$V$136,"Deleted")</f>
        <v>0</v>
      </c>
      <c r="Y52" s="216">
        <f>X52/X53</f>
        <v>0</v>
      </c>
      <c r="Z52" s="216">
        <f>Y52</f>
        <v>0</v>
      </c>
      <c r="AA52" s="177"/>
      <c r="AB52" s="3"/>
      <c r="AC52" s="166"/>
    </row>
    <row r="53" spans="2:29" ht="15.75" customHeight="1">
      <c r="B53" s="218" t="s">
        <v>51</v>
      </c>
      <c r="C53" s="219">
        <f>SUM(C42:C52)</f>
        <v>13</v>
      </c>
      <c r="D53" s="177"/>
      <c r="E53" s="177"/>
      <c r="F53" s="220"/>
      <c r="G53" s="58"/>
      <c r="I53" s="218" t="s">
        <v>51</v>
      </c>
      <c r="J53" s="219">
        <f>SUM(J42:J52)</f>
        <v>13</v>
      </c>
      <c r="K53" s="177"/>
      <c r="L53" s="177"/>
      <c r="M53" s="220"/>
      <c r="N53" s="58"/>
      <c r="P53" s="218" t="s">
        <v>51</v>
      </c>
      <c r="Q53" s="219">
        <f>SUM(Q42:Q52)</f>
        <v>13</v>
      </c>
      <c r="R53" s="177"/>
      <c r="S53" s="177"/>
      <c r="T53" s="220"/>
      <c r="U53" s="58"/>
      <c r="W53" s="178" t="s">
        <v>51</v>
      </c>
      <c r="X53" s="219">
        <f>SUM(X42:X52)</f>
        <v>13</v>
      </c>
      <c r="Y53" s="177"/>
      <c r="Z53" s="177"/>
      <c r="AA53" s="58"/>
      <c r="AB53" s="58"/>
      <c r="AC53" s="166"/>
    </row>
    <row r="54" spans="2:29" ht="15.75" customHeight="1">
      <c r="B54" s="218" t="s">
        <v>52</v>
      </c>
      <c r="C54" s="219">
        <f>C53-C52-C51-C50-C49</f>
        <v>9</v>
      </c>
      <c r="D54" s="58"/>
      <c r="E54" s="58"/>
      <c r="F54" s="220"/>
      <c r="G54" s="58"/>
      <c r="I54" s="218" t="s">
        <v>52</v>
      </c>
      <c r="J54" s="219">
        <f>J53-J52-J51-J50-J49</f>
        <v>12</v>
      </c>
      <c r="K54" s="58"/>
      <c r="L54" s="58"/>
      <c r="M54" s="220"/>
      <c r="N54" s="58"/>
      <c r="P54" s="218" t="s">
        <v>52</v>
      </c>
      <c r="Q54" s="219">
        <f>Q53-Q52-Q51-Q50-Q49</f>
        <v>13</v>
      </c>
      <c r="R54" s="58"/>
      <c r="S54" s="58"/>
      <c r="T54" s="220"/>
      <c r="U54" s="58"/>
      <c r="W54" s="178" t="s">
        <v>52</v>
      </c>
      <c r="X54" s="219">
        <f>X53-X52-X51-X50-X49</f>
        <v>13</v>
      </c>
      <c r="Y54" s="58"/>
      <c r="Z54" s="58"/>
      <c r="AA54" s="58"/>
      <c r="AB54" s="58"/>
      <c r="AC54" s="166"/>
    </row>
    <row r="55" spans="2:29" ht="15.75" customHeight="1">
      <c r="W55" s="180"/>
      <c r="AA55" s="2"/>
      <c r="AC55" s="166"/>
    </row>
    <row r="56" spans="2:29" ht="15.75" customHeight="1">
      <c r="W56" s="165"/>
      <c r="X56" s="222"/>
      <c r="Y56" s="165"/>
      <c r="Z56" s="165"/>
      <c r="AA56" s="165"/>
      <c r="AB56" s="186"/>
      <c r="AC56" s="166"/>
    </row>
    <row r="57" spans="2:29" ht="15.75" customHeight="1">
      <c r="W57" s="223"/>
      <c r="X57" s="224"/>
      <c r="Y57" s="58"/>
      <c r="Z57" s="58"/>
      <c r="AA57" s="58"/>
      <c r="AB57" s="177"/>
      <c r="AC57" s="166"/>
    </row>
    <row r="58" spans="2:29" s="166" customFormat="1" ht="15.75">
      <c r="B58" s="225" t="s">
        <v>414</v>
      </c>
      <c r="C58" s="204"/>
      <c r="D58" s="204"/>
      <c r="E58" s="204"/>
      <c r="F58" s="205"/>
      <c r="G58" s="204"/>
      <c r="I58" s="225" t="s">
        <v>414</v>
      </c>
      <c r="J58" s="204"/>
      <c r="K58" s="204"/>
      <c r="L58" s="204"/>
      <c r="M58" s="205"/>
      <c r="N58" s="204"/>
      <c r="P58" s="225" t="s">
        <v>414</v>
      </c>
      <c r="Q58" s="204"/>
      <c r="R58" s="204"/>
      <c r="S58" s="204"/>
      <c r="T58" s="205"/>
      <c r="U58" s="204"/>
      <c r="W58" s="225" t="s">
        <v>414</v>
      </c>
      <c r="X58" s="204"/>
      <c r="Y58" s="204"/>
      <c r="Z58" s="204"/>
      <c r="AA58" s="205"/>
      <c r="AB58" s="204"/>
    </row>
    <row r="59" spans="2:29" ht="41.25" customHeight="1">
      <c r="B59" s="206" t="s">
        <v>42</v>
      </c>
      <c r="C59" s="207" t="s">
        <v>43</v>
      </c>
      <c r="D59" s="207" t="s">
        <v>44</v>
      </c>
      <c r="E59" s="207" t="s">
        <v>45</v>
      </c>
      <c r="F59" s="206" t="s">
        <v>46</v>
      </c>
      <c r="G59" s="207" t="s">
        <v>47</v>
      </c>
      <c r="I59" s="206" t="s">
        <v>42</v>
      </c>
      <c r="J59" s="207" t="s">
        <v>43</v>
      </c>
      <c r="K59" s="207" t="s">
        <v>44</v>
      </c>
      <c r="L59" s="207" t="s">
        <v>45</v>
      </c>
      <c r="M59" s="206" t="s">
        <v>46</v>
      </c>
      <c r="N59" s="207" t="s">
        <v>47</v>
      </c>
      <c r="P59" s="206" t="s">
        <v>42</v>
      </c>
      <c r="Q59" s="207" t="s">
        <v>43</v>
      </c>
      <c r="R59" s="207" t="s">
        <v>44</v>
      </c>
      <c r="S59" s="207" t="s">
        <v>45</v>
      </c>
      <c r="T59" s="206" t="s">
        <v>46</v>
      </c>
      <c r="U59" s="207" t="s">
        <v>47</v>
      </c>
      <c r="W59" s="164" t="s">
        <v>42</v>
      </c>
      <c r="X59" s="164" t="s">
        <v>43</v>
      </c>
      <c r="Y59" s="164" t="s">
        <v>44</v>
      </c>
      <c r="Z59" s="164" t="s">
        <v>45</v>
      </c>
      <c r="AA59" s="164" t="s">
        <v>46</v>
      </c>
      <c r="AB59" s="164" t="s">
        <v>47</v>
      </c>
      <c r="AC59" s="166"/>
    </row>
    <row r="60" spans="2:29" ht="27.75" customHeight="1">
      <c r="B60" s="228" t="s">
        <v>48</v>
      </c>
      <c r="C60" s="208">
        <f>COUNTIFS('1. All Data'!$AB$3:$AB$136,"Leader",'1. All Data'!$H$3:$H$136,"Fully Achieved")</f>
        <v>4</v>
      </c>
      <c r="D60" s="209">
        <f>C60/C71</f>
        <v>0.26666666666666666</v>
      </c>
      <c r="E60" s="435">
        <f>D60+D61</f>
        <v>0.66666666666666674</v>
      </c>
      <c r="F60" s="210">
        <f>C60/C72</f>
        <v>0.4</v>
      </c>
      <c r="G60" s="437">
        <f>F60+F61</f>
        <v>1</v>
      </c>
      <c r="I60" s="228" t="s">
        <v>48</v>
      </c>
      <c r="J60" s="208">
        <f>COUNTIFS('1. All Data'!$AB$3:$AB$136,"Leader",'1. All Data'!$M$3:$M$136,"Fully Achieved")</f>
        <v>7</v>
      </c>
      <c r="K60" s="209">
        <f>J60/J71</f>
        <v>0.46666666666666667</v>
      </c>
      <c r="L60" s="435">
        <f>K60+K61</f>
        <v>0.93333333333333335</v>
      </c>
      <c r="M60" s="210">
        <f>J60/J72</f>
        <v>0.5</v>
      </c>
      <c r="N60" s="437">
        <f>M60+M61</f>
        <v>1</v>
      </c>
      <c r="P60" s="228" t="s">
        <v>48</v>
      </c>
      <c r="Q60" s="208">
        <f>COUNTIFS('1. All Data'!$AB$3:$AB$136,"Leader",'1. All Data'!$R$3:$R$136,"Fully Achieved")</f>
        <v>11</v>
      </c>
      <c r="R60" s="209">
        <f>Q60/Q71</f>
        <v>0.73333333333333328</v>
      </c>
      <c r="S60" s="435">
        <f>R60+R61</f>
        <v>0.93333333333333335</v>
      </c>
      <c r="T60" s="210">
        <f>Q60/Q72</f>
        <v>0.7857142857142857</v>
      </c>
      <c r="U60" s="437">
        <f>T60+T61</f>
        <v>1</v>
      </c>
      <c r="W60" s="228" t="s">
        <v>48</v>
      </c>
      <c r="X60" s="208">
        <f>COUNTIFS('1. All Data'!$AB$3:$AB$136,"Leader",'1. All Data'!$V$3:$V$136,"Fully Achieved")</f>
        <v>15</v>
      </c>
      <c r="Y60" s="209">
        <f>X60/X71</f>
        <v>1</v>
      </c>
      <c r="Z60" s="435">
        <f>Y60+Y61</f>
        <v>1</v>
      </c>
      <c r="AA60" s="209">
        <f>X60/X72</f>
        <v>1</v>
      </c>
      <c r="AB60" s="415">
        <f>AA60+AA61</f>
        <v>1</v>
      </c>
      <c r="AC60" s="166"/>
    </row>
    <row r="61" spans="2:29" ht="27.75" customHeight="1">
      <c r="B61" s="228" t="s">
        <v>31</v>
      </c>
      <c r="C61" s="208">
        <f>COUNTIFS('1. All Data'!$AB$3:$AB$136,"Leader",'1. All Data'!$H$3:$H$136,"On Track to be Achieved")</f>
        <v>6</v>
      </c>
      <c r="D61" s="209">
        <f>C61/C71</f>
        <v>0.4</v>
      </c>
      <c r="E61" s="435"/>
      <c r="F61" s="210">
        <f>C61/C72</f>
        <v>0.6</v>
      </c>
      <c r="G61" s="437"/>
      <c r="I61" s="228" t="s">
        <v>31</v>
      </c>
      <c r="J61" s="208">
        <f>COUNTIFS('1. All Data'!$AB$3:$AB$136,"Leader",'1. All Data'!$M$3:$M$136,"On Track to be Achieved")</f>
        <v>7</v>
      </c>
      <c r="K61" s="209">
        <f>J61/J71</f>
        <v>0.46666666666666667</v>
      </c>
      <c r="L61" s="435"/>
      <c r="M61" s="210">
        <f>J61/J72</f>
        <v>0.5</v>
      </c>
      <c r="N61" s="437"/>
      <c r="P61" s="228" t="s">
        <v>31</v>
      </c>
      <c r="Q61" s="208">
        <f>COUNTIFS('1. All Data'!$AB$3:$AB$136,"Leader",'1. All Data'!$R$3:$R$136,"On Track to be Achieved")</f>
        <v>3</v>
      </c>
      <c r="R61" s="209">
        <f>Q61/Q71</f>
        <v>0.2</v>
      </c>
      <c r="S61" s="435"/>
      <c r="T61" s="210">
        <f>Q61/Q72</f>
        <v>0.21428571428571427</v>
      </c>
      <c r="U61" s="437"/>
      <c r="W61" s="228" t="s">
        <v>23</v>
      </c>
      <c r="X61" s="208">
        <f>COUNTIFS('1. All Data'!$AB$3:$AB$136,"Leader",'1. All Data'!$V$3:$V$136,"Numerical Outturn Within 5% Tolerance")</f>
        <v>0</v>
      </c>
      <c r="Y61" s="209">
        <f>X61/X71</f>
        <v>0</v>
      </c>
      <c r="Z61" s="435"/>
      <c r="AA61" s="209">
        <f>X61/X72</f>
        <v>0</v>
      </c>
      <c r="AB61" s="415"/>
      <c r="AC61" s="166"/>
    </row>
    <row r="62" spans="2:29" ht="21" customHeight="1">
      <c r="B62" s="447" t="s">
        <v>32</v>
      </c>
      <c r="C62" s="450">
        <f>COUNTIFS('1. All Data'!$AB$3:$AB$136,"Leader",'1. All Data'!$H$3:$H$136,"In Danger of Falling Behind Target")</f>
        <v>0</v>
      </c>
      <c r="D62" s="438">
        <f>C62/C71</f>
        <v>0</v>
      </c>
      <c r="E62" s="438">
        <f>D62</f>
        <v>0</v>
      </c>
      <c r="F62" s="441">
        <f>C62/C72</f>
        <v>0</v>
      </c>
      <c r="G62" s="444">
        <f>F62</f>
        <v>0</v>
      </c>
      <c r="I62" s="447" t="s">
        <v>32</v>
      </c>
      <c r="J62" s="450">
        <f>COUNTIFS('1. All Data'!$AB$3:$AB$136,"Leader",'1. All Data'!$M$3:$M$136,"In Danger of Falling Behind Target")</f>
        <v>0</v>
      </c>
      <c r="K62" s="438">
        <f>J62/J71</f>
        <v>0</v>
      </c>
      <c r="L62" s="438">
        <f>K62</f>
        <v>0</v>
      </c>
      <c r="M62" s="441">
        <f>J62/J72</f>
        <v>0</v>
      </c>
      <c r="N62" s="444">
        <f>M62</f>
        <v>0</v>
      </c>
      <c r="P62" s="447" t="s">
        <v>32</v>
      </c>
      <c r="Q62" s="450">
        <f>COUNTIFS('1. All Data'!$AB$3:$AB$136,"Leader",'1. All Data'!$R$3:$R$136,"In Danger of Falling Behind Target")</f>
        <v>0</v>
      </c>
      <c r="R62" s="438">
        <f>Q62/Q71</f>
        <v>0</v>
      </c>
      <c r="S62" s="438">
        <f>R62</f>
        <v>0</v>
      </c>
      <c r="T62" s="441">
        <f>Q62/Q72</f>
        <v>0</v>
      </c>
      <c r="U62" s="444">
        <f>T62</f>
        <v>0</v>
      </c>
      <c r="W62" s="169" t="s">
        <v>24</v>
      </c>
      <c r="X62" s="170">
        <f>COUNTIFS('1. All Data'!$AB$3:$AB$136,"Leader",'1. All Data'!$V$3:$V$136,"Numerical Outturn Within 10% Tolerance")</f>
        <v>0</v>
      </c>
      <c r="Y62" s="168">
        <f>X62/X71</f>
        <v>0</v>
      </c>
      <c r="Z62" s="413">
        <f>SUM(Y62:Y64)</f>
        <v>0</v>
      </c>
      <c r="AA62" s="168">
        <f>X62/X72</f>
        <v>0</v>
      </c>
      <c r="AB62" s="422">
        <f>SUM(AA62:AA64)</f>
        <v>0</v>
      </c>
      <c r="AC62" s="166"/>
    </row>
    <row r="63" spans="2:29" ht="18.75" customHeight="1">
      <c r="B63" s="448"/>
      <c r="C63" s="451"/>
      <c r="D63" s="439"/>
      <c r="E63" s="439"/>
      <c r="F63" s="442"/>
      <c r="G63" s="445"/>
      <c r="I63" s="448"/>
      <c r="J63" s="451"/>
      <c r="K63" s="439"/>
      <c r="L63" s="439"/>
      <c r="M63" s="442"/>
      <c r="N63" s="445"/>
      <c r="P63" s="448"/>
      <c r="Q63" s="451"/>
      <c r="R63" s="439"/>
      <c r="S63" s="439"/>
      <c r="T63" s="442"/>
      <c r="U63" s="445"/>
      <c r="W63" s="169" t="s">
        <v>25</v>
      </c>
      <c r="X63" s="170">
        <f>COUNTIFS('1. All Data'!$AB$3:$AB$136,"Leader",'1. All Data'!$V$3:$V$136,"Target Partially Met")</f>
        <v>0</v>
      </c>
      <c r="Y63" s="168">
        <f>X63/X71</f>
        <v>0</v>
      </c>
      <c r="Z63" s="413"/>
      <c r="AA63" s="168">
        <f>X63/X72</f>
        <v>0</v>
      </c>
      <c r="AB63" s="422"/>
      <c r="AC63" s="166"/>
    </row>
    <row r="64" spans="2:29" ht="20.25" customHeight="1">
      <c r="B64" s="449"/>
      <c r="C64" s="452"/>
      <c r="D64" s="440"/>
      <c r="E64" s="440"/>
      <c r="F64" s="443"/>
      <c r="G64" s="446"/>
      <c r="I64" s="449"/>
      <c r="J64" s="452"/>
      <c r="K64" s="440"/>
      <c r="L64" s="440"/>
      <c r="M64" s="443"/>
      <c r="N64" s="446"/>
      <c r="P64" s="449"/>
      <c r="Q64" s="452"/>
      <c r="R64" s="440"/>
      <c r="S64" s="440"/>
      <c r="T64" s="443"/>
      <c r="U64" s="446"/>
      <c r="W64" s="169" t="s">
        <v>28</v>
      </c>
      <c r="X64" s="170">
        <f>COUNTIFS('1. All Data'!$AB$3:$AB$136,"Leader",'1. All Data'!$V$3:$V$136,"Completion Date Within Reasonable Tolerance")</f>
        <v>0</v>
      </c>
      <c r="Y64" s="168">
        <f>X64/X71</f>
        <v>0</v>
      </c>
      <c r="Z64" s="413"/>
      <c r="AA64" s="168">
        <f>X64/X72</f>
        <v>0</v>
      </c>
      <c r="AB64" s="422"/>
      <c r="AC64" s="166"/>
    </row>
    <row r="65" spans="2:29" ht="30" customHeight="1">
      <c r="B65" s="211" t="s">
        <v>33</v>
      </c>
      <c r="C65" s="208">
        <f>COUNTIFS('1. All Data'!$AB$3:$AB$136,"Leader",'1. All Data'!$H$3:$H$136,"Completed Behind Schedule")</f>
        <v>0</v>
      </c>
      <c r="D65" s="209">
        <f>C65/C71</f>
        <v>0</v>
      </c>
      <c r="E65" s="435">
        <f>D65+D66</f>
        <v>0</v>
      </c>
      <c r="F65" s="210">
        <f>C65/C72</f>
        <v>0</v>
      </c>
      <c r="G65" s="436">
        <f>F65+F66</f>
        <v>0</v>
      </c>
      <c r="I65" s="211" t="s">
        <v>33</v>
      </c>
      <c r="J65" s="208">
        <f>COUNTIFS('1. All Data'!$AB$3:$AB$136,"Leader",'1. All Data'!$M$3:$M$136,"Completed Behind Schedule")</f>
        <v>0</v>
      </c>
      <c r="K65" s="209">
        <f>J65/J71</f>
        <v>0</v>
      </c>
      <c r="L65" s="435">
        <f>K65+K66</f>
        <v>0</v>
      </c>
      <c r="M65" s="210">
        <f>J65/J72</f>
        <v>0</v>
      </c>
      <c r="N65" s="436">
        <f>M65+M66</f>
        <v>0</v>
      </c>
      <c r="P65" s="211" t="s">
        <v>33</v>
      </c>
      <c r="Q65" s="208">
        <f>COUNTIFS('1. All Data'!$AB$3:$AB$136,"Leader",'1. All Data'!$R$3:$R$136,"Completed Behind Schedule")</f>
        <v>0</v>
      </c>
      <c r="R65" s="209">
        <f>Q65/Q71</f>
        <v>0</v>
      </c>
      <c r="S65" s="435">
        <f>R65+R66</f>
        <v>0</v>
      </c>
      <c r="T65" s="210">
        <f>Q65/Q72</f>
        <v>0</v>
      </c>
      <c r="U65" s="436">
        <f>T65+T66</f>
        <v>0</v>
      </c>
      <c r="W65" s="171" t="s">
        <v>27</v>
      </c>
      <c r="X65" s="208">
        <f>COUNTIFS('1. All Data'!$AB$3:$AB$136,"Leader",'1. All Data'!$V$3:$V$136,"Completed Significantly After Target Deadline")</f>
        <v>0</v>
      </c>
      <c r="Y65" s="209">
        <f>X65/X71</f>
        <v>0</v>
      </c>
      <c r="Z65" s="435">
        <f>Y65+Y66</f>
        <v>0</v>
      </c>
      <c r="AA65" s="168">
        <f>X65/X72</f>
        <v>0</v>
      </c>
      <c r="AB65" s="414">
        <f>AA65+AA66</f>
        <v>0</v>
      </c>
      <c r="AC65" s="166"/>
    </row>
    <row r="66" spans="2:29" ht="30" customHeight="1">
      <c r="B66" s="211" t="s">
        <v>26</v>
      </c>
      <c r="C66" s="208">
        <f>COUNTIFS('1. All Data'!$AB$3:$AB$136,"Leader",'1. All Data'!$H$3:$H$136,"Off Target")</f>
        <v>0</v>
      </c>
      <c r="D66" s="209">
        <f>C66/C71</f>
        <v>0</v>
      </c>
      <c r="E66" s="435"/>
      <c r="F66" s="210">
        <f>C66/C72</f>
        <v>0</v>
      </c>
      <c r="G66" s="436"/>
      <c r="I66" s="211" t="s">
        <v>26</v>
      </c>
      <c r="J66" s="208">
        <f>COUNTIFS('1. All Data'!$AB$3:$AB$136,"Leader",'1. All Data'!$M$3:$M$136,"Off Target")</f>
        <v>0</v>
      </c>
      <c r="K66" s="209">
        <f>J66/J71</f>
        <v>0</v>
      </c>
      <c r="L66" s="435"/>
      <c r="M66" s="210">
        <f>J66/J72</f>
        <v>0</v>
      </c>
      <c r="N66" s="436"/>
      <c r="P66" s="211" t="s">
        <v>26</v>
      </c>
      <c r="Q66" s="208">
        <f>COUNTIFS('1. All Data'!$AB$3:$AB$136,"Leader",'1. All Data'!$R$3:$R$136,"Off Target")</f>
        <v>0</v>
      </c>
      <c r="R66" s="209">
        <f>Q66/Q71</f>
        <v>0</v>
      </c>
      <c r="S66" s="435"/>
      <c r="T66" s="210">
        <f>Q66/Q72</f>
        <v>0</v>
      </c>
      <c r="U66" s="436"/>
      <c r="W66" s="171" t="s">
        <v>26</v>
      </c>
      <c r="X66" s="208">
        <f>COUNTIFS('1. All Data'!$AB$3:$AB$136,"Leader",'1. All Data'!$V$3:$V$136,"Off Target")</f>
        <v>0</v>
      </c>
      <c r="Y66" s="209">
        <f>X66/X71</f>
        <v>0</v>
      </c>
      <c r="Z66" s="435"/>
      <c r="AA66" s="168">
        <f>X66/X72</f>
        <v>0</v>
      </c>
      <c r="AB66" s="414"/>
      <c r="AC66" s="166"/>
    </row>
    <row r="67" spans="2:29" ht="15.75" customHeight="1">
      <c r="B67" s="212" t="s">
        <v>49</v>
      </c>
      <c r="C67" s="208">
        <f>COUNTIFS('1. All Data'!$AB$3:$AB$136,"Leader",'1. All Data'!$H$3:$H$136,"Not yet due")</f>
        <v>5</v>
      </c>
      <c r="D67" s="213">
        <f>C67/C71</f>
        <v>0.33333333333333331</v>
      </c>
      <c r="E67" s="213">
        <f>D67</f>
        <v>0.33333333333333331</v>
      </c>
      <c r="F67" s="214"/>
      <c r="G67" s="58"/>
      <c r="I67" s="212" t="s">
        <v>49</v>
      </c>
      <c r="J67" s="208">
        <f>COUNTIFS('1. All Data'!$AB$3:$AB$136,"Leader",'1. All Data'!$M$3:$M$136,"Not yet due")</f>
        <v>1</v>
      </c>
      <c r="K67" s="213">
        <f>J67/J71</f>
        <v>6.6666666666666666E-2</v>
      </c>
      <c r="L67" s="213">
        <f>K67</f>
        <v>6.6666666666666666E-2</v>
      </c>
      <c r="M67" s="214"/>
      <c r="N67" s="58"/>
      <c r="P67" s="212" t="s">
        <v>49</v>
      </c>
      <c r="Q67" s="208">
        <f>COUNTIFS('1. All Data'!$AB$3:$AB$136,"Leader",'1. All Data'!$R$3:$R$136,"Not yet due")</f>
        <v>1</v>
      </c>
      <c r="R67" s="213">
        <f>Q67/Q71</f>
        <v>6.6666666666666666E-2</v>
      </c>
      <c r="S67" s="213">
        <f>R67</f>
        <v>6.6666666666666666E-2</v>
      </c>
      <c r="T67" s="214"/>
      <c r="U67" s="58"/>
      <c r="W67" s="172" t="s">
        <v>49</v>
      </c>
      <c r="X67" s="208">
        <f>COUNTIFS('1. All Data'!$AB$3:$AB$136,"Leader",'1. All Data'!$V$3:$V$136,"Not yet due")</f>
        <v>0</v>
      </c>
      <c r="Y67" s="213">
        <f>X67/X71</f>
        <v>0</v>
      </c>
      <c r="Z67" s="213">
        <f>Y67</f>
        <v>0</v>
      </c>
      <c r="AA67" s="174"/>
      <c r="AB67" s="58"/>
      <c r="AC67" s="166"/>
    </row>
    <row r="68" spans="2:29" ht="15.75" customHeight="1">
      <c r="B68" s="212" t="s">
        <v>21</v>
      </c>
      <c r="C68" s="208">
        <f>COUNTIFS('1. All Data'!$AB$3:$AB$136,"Leader",'1. All Data'!$H$3:$H$136,"Update not provided")</f>
        <v>0</v>
      </c>
      <c r="D68" s="213">
        <f>C68/C71</f>
        <v>0</v>
      </c>
      <c r="E68" s="213">
        <f>D68</f>
        <v>0</v>
      </c>
      <c r="F68" s="214"/>
      <c r="G68" s="2"/>
      <c r="I68" s="212" t="s">
        <v>21</v>
      </c>
      <c r="J68" s="208">
        <f>COUNTIFS('1. All Data'!$AB$3:$AB$136,"Leader",'1. All Data'!$M$3:$M$136,"Update not provided")</f>
        <v>0</v>
      </c>
      <c r="K68" s="213">
        <f>J68/J71</f>
        <v>0</v>
      </c>
      <c r="L68" s="213">
        <f>K68</f>
        <v>0</v>
      </c>
      <c r="M68" s="214"/>
      <c r="N68" s="2"/>
      <c r="P68" s="212" t="s">
        <v>21</v>
      </c>
      <c r="Q68" s="208">
        <f>COUNTIFS('1. All Data'!$AB$3:$AB$136,"Leader",'1. All Data'!$R$3:$R$136,"Update not provided")</f>
        <v>0</v>
      </c>
      <c r="R68" s="213">
        <f>Q68/Q71</f>
        <v>0</v>
      </c>
      <c r="S68" s="213">
        <f>R68</f>
        <v>0</v>
      </c>
      <c r="T68" s="214"/>
      <c r="U68" s="2"/>
      <c r="W68" s="172" t="s">
        <v>21</v>
      </c>
      <c r="X68" s="208">
        <f>COUNTIFS('1. All Data'!$AB$3:$AB$136,"Leader",'1. All Data'!$V$3:$V$136,"Update not provided")</f>
        <v>0</v>
      </c>
      <c r="Y68" s="213">
        <f>X68/X71</f>
        <v>0</v>
      </c>
      <c r="Z68" s="213">
        <f>Y68</f>
        <v>0</v>
      </c>
      <c r="AA68" s="174"/>
      <c r="AB68" s="2"/>
      <c r="AC68" s="166"/>
    </row>
    <row r="69" spans="2:29" ht="15.75" customHeight="1">
      <c r="B69" s="215" t="s">
        <v>29</v>
      </c>
      <c r="C69" s="208">
        <f>COUNTIFS('1. All Data'!$AB$3:$AB$136,"Leader",'1. All Data'!$H$3:$H$136,"Deferred")</f>
        <v>0</v>
      </c>
      <c r="D69" s="216">
        <f>C69/C71</f>
        <v>0</v>
      </c>
      <c r="E69" s="216">
        <f>D69</f>
        <v>0</v>
      </c>
      <c r="F69" s="217"/>
      <c r="G69" s="58"/>
      <c r="I69" s="215" t="s">
        <v>29</v>
      </c>
      <c r="J69" s="208">
        <f>COUNTIFS('1. All Data'!$AB$3:$AB$136,"Leader",'1. All Data'!$M$3:$M$136,"Deferred")</f>
        <v>0</v>
      </c>
      <c r="K69" s="216">
        <f>J69/J71</f>
        <v>0</v>
      </c>
      <c r="L69" s="216">
        <f>K69</f>
        <v>0</v>
      </c>
      <c r="M69" s="217"/>
      <c r="N69" s="58"/>
      <c r="P69" s="215" t="s">
        <v>29</v>
      </c>
      <c r="Q69" s="208">
        <f>COUNTIFS('1. All Data'!$AB$3:$AB$136,"Leader",'1. All Data'!$R$3:$R$136,"Deferred")</f>
        <v>0</v>
      </c>
      <c r="R69" s="216">
        <f>Q69/Q71</f>
        <v>0</v>
      </c>
      <c r="S69" s="216">
        <f>R69</f>
        <v>0</v>
      </c>
      <c r="T69" s="217"/>
      <c r="U69" s="58"/>
      <c r="W69" s="175" t="s">
        <v>29</v>
      </c>
      <c r="X69" s="208">
        <f>COUNTIFS('1. All Data'!$AB$3:$AB$136,"Leader",'1. All Data'!$V$3:$V$136,"Deferred")</f>
        <v>0</v>
      </c>
      <c r="Y69" s="216">
        <f>X69/X71</f>
        <v>0</v>
      </c>
      <c r="Z69" s="216">
        <f>Y69</f>
        <v>0</v>
      </c>
      <c r="AA69" s="177"/>
      <c r="AB69" s="58"/>
      <c r="AC69" s="166"/>
    </row>
    <row r="70" spans="2:29" ht="15.75" customHeight="1">
      <c r="B70" s="215" t="s">
        <v>30</v>
      </c>
      <c r="C70" s="208">
        <f>COUNTIFS('1. All Data'!$AB$3:$AB$136,"Leader",'1. All Data'!$H$3:$H$136,"Deleted")</f>
        <v>0</v>
      </c>
      <c r="D70" s="216">
        <f>C70/C71</f>
        <v>0</v>
      </c>
      <c r="E70" s="216">
        <f>D70</f>
        <v>0</v>
      </c>
      <c r="F70" s="217"/>
      <c r="G70" s="29"/>
      <c r="I70" s="215" t="s">
        <v>30</v>
      </c>
      <c r="J70" s="208">
        <f>COUNTIFS('1. All Data'!$AB$3:$AB$136,"Leader",'1. All Data'!$M$3:$M$136,"Deleted")</f>
        <v>0</v>
      </c>
      <c r="K70" s="216">
        <f>J70/J71</f>
        <v>0</v>
      </c>
      <c r="L70" s="216">
        <f>K70</f>
        <v>0</v>
      </c>
      <c r="M70" s="217"/>
      <c r="N70" s="29"/>
      <c r="P70" s="215" t="s">
        <v>30</v>
      </c>
      <c r="Q70" s="208">
        <f>COUNTIFS('1. All Data'!$AB$3:$AB$136,"Leader",'1. All Data'!$R$3:$R$136,"Deleted")</f>
        <v>0</v>
      </c>
      <c r="R70" s="216">
        <f>Q70/Q71</f>
        <v>0</v>
      </c>
      <c r="S70" s="216">
        <f>R70</f>
        <v>0</v>
      </c>
      <c r="T70" s="217"/>
      <c r="U70" s="29"/>
      <c r="W70" s="175" t="s">
        <v>30</v>
      </c>
      <c r="X70" s="208">
        <f>COUNTIFS('1. All Data'!$AB$3:$AB$136,"Leader",'1. All Data'!$V$3:$V$136,"Deleted")</f>
        <v>0</v>
      </c>
      <c r="Y70" s="216">
        <f>X70/X71</f>
        <v>0</v>
      </c>
      <c r="Z70" s="216">
        <f>Y70</f>
        <v>0</v>
      </c>
      <c r="AA70" s="177"/>
      <c r="AB70" s="3"/>
      <c r="AC70" s="166"/>
    </row>
    <row r="71" spans="2:29" ht="15.75" customHeight="1">
      <c r="B71" s="218" t="s">
        <v>51</v>
      </c>
      <c r="C71" s="219">
        <f>SUM(C60:C70)</f>
        <v>15</v>
      </c>
      <c r="D71" s="177"/>
      <c r="E71" s="177"/>
      <c r="F71" s="220"/>
      <c r="G71" s="58"/>
      <c r="I71" s="218" t="s">
        <v>51</v>
      </c>
      <c r="J71" s="219">
        <f>SUM(J60:J70)</f>
        <v>15</v>
      </c>
      <c r="K71" s="177"/>
      <c r="L71" s="177"/>
      <c r="M71" s="220"/>
      <c r="N71" s="58"/>
      <c r="P71" s="218" t="s">
        <v>51</v>
      </c>
      <c r="Q71" s="219">
        <f>SUM(Q60:Q70)</f>
        <v>15</v>
      </c>
      <c r="R71" s="177"/>
      <c r="S71" s="177"/>
      <c r="T71" s="220"/>
      <c r="U71" s="58"/>
      <c r="W71" s="178" t="s">
        <v>51</v>
      </c>
      <c r="X71" s="219">
        <f>SUM(X60:X70)</f>
        <v>15</v>
      </c>
      <c r="Y71" s="177"/>
      <c r="Z71" s="177"/>
      <c r="AA71" s="58"/>
      <c r="AB71" s="58"/>
      <c r="AC71" s="166"/>
    </row>
    <row r="72" spans="2:29" ht="15.75" customHeight="1">
      <c r="B72" s="218" t="s">
        <v>52</v>
      </c>
      <c r="C72" s="219">
        <f>C71-C70-C69-C68-C67</f>
        <v>10</v>
      </c>
      <c r="D72" s="58"/>
      <c r="E72" s="58"/>
      <c r="F72" s="220"/>
      <c r="G72" s="58"/>
      <c r="I72" s="218" t="s">
        <v>52</v>
      </c>
      <c r="J72" s="219">
        <f>J71-J70-J69-J68-J67</f>
        <v>14</v>
      </c>
      <c r="K72" s="58"/>
      <c r="L72" s="58"/>
      <c r="M72" s="220"/>
      <c r="N72" s="58"/>
      <c r="P72" s="218" t="s">
        <v>52</v>
      </c>
      <c r="Q72" s="219">
        <f>Q71-Q70-Q69-Q68-Q67</f>
        <v>14</v>
      </c>
      <c r="R72" s="58"/>
      <c r="S72" s="58"/>
      <c r="T72" s="220"/>
      <c r="U72" s="58"/>
      <c r="W72" s="178" t="s">
        <v>52</v>
      </c>
      <c r="X72" s="219">
        <f>X71-X70-X69-X68-X67</f>
        <v>15</v>
      </c>
      <c r="Y72" s="58"/>
      <c r="Z72" s="58"/>
      <c r="AA72" s="58"/>
      <c r="AB72" s="58"/>
      <c r="AC72" s="166"/>
    </row>
    <row r="73" spans="2:29" ht="15.75" customHeight="1">
      <c r="W73" s="180"/>
      <c r="AA73" s="2"/>
      <c r="AC73" s="166"/>
    </row>
    <row r="74" spans="2:29" ht="15.75" customHeight="1">
      <c r="W74" s="165"/>
      <c r="X74" s="165"/>
      <c r="Y74" s="165"/>
      <c r="Z74" s="165"/>
      <c r="AA74" s="165"/>
      <c r="AB74" s="186"/>
      <c r="AC74" s="166"/>
    </row>
    <row r="75" spans="2:29" s="166" customFormat="1" ht="15.75" customHeight="1">
      <c r="B75" s="187"/>
      <c r="C75" s="165"/>
      <c r="D75" s="165"/>
      <c r="E75" s="165"/>
      <c r="F75" s="220"/>
      <c r="G75" s="165"/>
      <c r="I75" s="187"/>
      <c r="J75" s="165"/>
      <c r="K75" s="165"/>
      <c r="L75" s="165"/>
      <c r="M75" s="220"/>
      <c r="N75" s="165"/>
      <c r="P75" s="187"/>
      <c r="Q75" s="165"/>
      <c r="R75" s="165"/>
      <c r="S75" s="165"/>
      <c r="T75" s="220"/>
      <c r="U75" s="165"/>
      <c r="W75" s="165"/>
      <c r="X75" s="165"/>
      <c r="Y75" s="165"/>
      <c r="Z75" s="165"/>
      <c r="AA75" s="165"/>
      <c r="AB75" s="186"/>
    </row>
    <row r="76" spans="2:29" s="166" customFormat="1" ht="15.75">
      <c r="B76" s="225" t="s">
        <v>201</v>
      </c>
      <c r="C76" s="204"/>
      <c r="D76" s="204"/>
      <c r="E76" s="204"/>
      <c r="F76" s="205"/>
      <c r="G76" s="204"/>
      <c r="I76" s="225" t="s">
        <v>201</v>
      </c>
      <c r="J76" s="204"/>
      <c r="K76" s="204"/>
      <c r="L76" s="204"/>
      <c r="M76" s="205"/>
      <c r="N76" s="204"/>
      <c r="P76" s="225" t="s">
        <v>201</v>
      </c>
      <c r="Q76" s="204"/>
      <c r="R76" s="204"/>
      <c r="S76" s="204"/>
      <c r="T76" s="205"/>
      <c r="U76" s="204"/>
      <c r="W76" s="225" t="s">
        <v>201</v>
      </c>
      <c r="X76" s="204"/>
      <c r="Y76" s="204"/>
      <c r="Z76" s="204"/>
      <c r="AA76" s="205"/>
      <c r="AB76" s="204"/>
    </row>
    <row r="77" spans="2:29" ht="36" customHeight="1">
      <c r="B77" s="206" t="s">
        <v>42</v>
      </c>
      <c r="C77" s="207" t="s">
        <v>43</v>
      </c>
      <c r="D77" s="207" t="s">
        <v>44</v>
      </c>
      <c r="E77" s="207" t="s">
        <v>45</v>
      </c>
      <c r="F77" s="206" t="s">
        <v>46</v>
      </c>
      <c r="G77" s="207" t="s">
        <v>47</v>
      </c>
      <c r="I77" s="206" t="s">
        <v>42</v>
      </c>
      <c r="J77" s="207" t="s">
        <v>43</v>
      </c>
      <c r="K77" s="207" t="s">
        <v>44</v>
      </c>
      <c r="L77" s="207" t="s">
        <v>45</v>
      </c>
      <c r="M77" s="206" t="s">
        <v>46</v>
      </c>
      <c r="N77" s="207" t="s">
        <v>47</v>
      </c>
      <c r="P77" s="206" t="s">
        <v>42</v>
      </c>
      <c r="Q77" s="207" t="s">
        <v>43</v>
      </c>
      <c r="R77" s="207" t="s">
        <v>44</v>
      </c>
      <c r="S77" s="207" t="s">
        <v>45</v>
      </c>
      <c r="T77" s="206" t="s">
        <v>46</v>
      </c>
      <c r="U77" s="207" t="s">
        <v>47</v>
      </c>
      <c r="W77" s="164" t="s">
        <v>42</v>
      </c>
      <c r="X77" s="164" t="s">
        <v>43</v>
      </c>
      <c r="Y77" s="164" t="s">
        <v>44</v>
      </c>
      <c r="Z77" s="164" t="s">
        <v>45</v>
      </c>
      <c r="AA77" s="164" t="s">
        <v>46</v>
      </c>
      <c r="AB77" s="164" t="s">
        <v>47</v>
      </c>
      <c r="AC77" s="166"/>
    </row>
    <row r="78" spans="2:29" ht="18.75" customHeight="1">
      <c r="B78" s="228" t="s">
        <v>48</v>
      </c>
      <c r="C78" s="208">
        <f>COUNTIFS('1. All Data'!$AB$3:$AB$136,"Regeneration and Development",'1. All Data'!$H$3:$H$136,"Fully Achieved")</f>
        <v>0</v>
      </c>
      <c r="D78" s="209">
        <f>C78/C89</f>
        <v>0</v>
      </c>
      <c r="E78" s="435">
        <f>D78+D79</f>
        <v>0.64</v>
      </c>
      <c r="F78" s="210">
        <f>C78/C90</f>
        <v>0</v>
      </c>
      <c r="G78" s="437">
        <f>F78+F79</f>
        <v>0.88888888888888884</v>
      </c>
      <c r="I78" s="228" t="s">
        <v>48</v>
      </c>
      <c r="J78" s="208">
        <f>COUNTIFS('1. All Data'!$AB$3:$AB$136,"Regeneration and Development",'1. All Data'!$M$3:$M$136,"Fully Achieved")</f>
        <v>8</v>
      </c>
      <c r="K78" s="209">
        <f>J78/J89</f>
        <v>0.32</v>
      </c>
      <c r="L78" s="435">
        <f>K78+K79</f>
        <v>0.8</v>
      </c>
      <c r="M78" s="210">
        <f>J78/J90</f>
        <v>0.36363636363636365</v>
      </c>
      <c r="N78" s="437">
        <f>M78+M79</f>
        <v>0.90909090909090906</v>
      </c>
      <c r="P78" s="228" t="s">
        <v>48</v>
      </c>
      <c r="Q78" s="208">
        <f>COUNTIFS('1. All Data'!$AB$3:$AB$136,"Regeneration and Development",'1. All Data'!$R$3:$R$136,"Fully Achieved")</f>
        <v>12</v>
      </c>
      <c r="R78" s="209">
        <f>Q78/Q89</f>
        <v>0.48</v>
      </c>
      <c r="S78" s="435">
        <f>R78+R79</f>
        <v>0.8</v>
      </c>
      <c r="T78" s="210">
        <f>Q78/Q90</f>
        <v>0.52173913043478259</v>
      </c>
      <c r="U78" s="437">
        <f>T78+T79</f>
        <v>0.86956521739130432</v>
      </c>
      <c r="W78" s="228" t="s">
        <v>48</v>
      </c>
      <c r="X78" s="208">
        <f>COUNTIFS('1. All Data'!$AB$3:$AB$136,"Regeneration and Development",'1. All Data'!$V$3:$V$136,"Fully Achieved")</f>
        <v>20</v>
      </c>
      <c r="Y78" s="209">
        <f>X78/X89</f>
        <v>0.8</v>
      </c>
      <c r="Z78" s="435">
        <f>Y78+Y79</f>
        <v>0.88</v>
      </c>
      <c r="AA78" s="209">
        <f>X78/X90</f>
        <v>0.83333333333333337</v>
      </c>
      <c r="AB78" s="415">
        <f>AA78+AA79</f>
        <v>0.91666666666666674</v>
      </c>
      <c r="AC78" s="166"/>
    </row>
    <row r="79" spans="2:29" ht="18.75" customHeight="1">
      <c r="B79" s="228" t="s">
        <v>31</v>
      </c>
      <c r="C79" s="208">
        <f>COUNTIFS('1. All Data'!$AB$3:$AB$136,"Regeneration and Development",'1. All Data'!$H$3:$H$136,"On Track to be Achieved")</f>
        <v>16</v>
      </c>
      <c r="D79" s="209">
        <f>C79/C89</f>
        <v>0.64</v>
      </c>
      <c r="E79" s="435"/>
      <c r="F79" s="210">
        <f>C79/C90</f>
        <v>0.88888888888888884</v>
      </c>
      <c r="G79" s="437"/>
      <c r="I79" s="228" t="s">
        <v>31</v>
      </c>
      <c r="J79" s="208">
        <f>COUNTIFS('1. All Data'!$AB$3:$AB$136,"Regeneration and Development",'1. All Data'!$M$3:$M$136,"On Track to be Achieved")</f>
        <v>12</v>
      </c>
      <c r="K79" s="209">
        <f>J79/J89</f>
        <v>0.48</v>
      </c>
      <c r="L79" s="435"/>
      <c r="M79" s="210">
        <f>J79/J90</f>
        <v>0.54545454545454541</v>
      </c>
      <c r="N79" s="437"/>
      <c r="P79" s="228" t="s">
        <v>31</v>
      </c>
      <c r="Q79" s="208">
        <f>COUNTIFS('1. All Data'!$AB$3:$AB$136,"Regeneration and Development",'1. All Data'!$R$3:$R$136,"On Track to be Achieved")</f>
        <v>8</v>
      </c>
      <c r="R79" s="209">
        <f>Q79/Q89</f>
        <v>0.32</v>
      </c>
      <c r="S79" s="435"/>
      <c r="T79" s="210">
        <f>Q79/Q90</f>
        <v>0.34782608695652173</v>
      </c>
      <c r="U79" s="437"/>
      <c r="W79" s="228" t="s">
        <v>23</v>
      </c>
      <c r="X79" s="208">
        <f>COUNTIFS('1. All Data'!$AB$3:$AB$136,"Regeneration and Development",'1. All Data'!$V$3:$V$136,"Numerical Outturn Within 5% Tolerance")</f>
        <v>2</v>
      </c>
      <c r="Y79" s="209">
        <f>X79/X89</f>
        <v>0.08</v>
      </c>
      <c r="Z79" s="435"/>
      <c r="AA79" s="209">
        <f>X79/X90</f>
        <v>8.3333333333333329E-2</v>
      </c>
      <c r="AB79" s="415"/>
      <c r="AC79" s="166"/>
    </row>
    <row r="80" spans="2:29" ht="16.5" customHeight="1">
      <c r="B80" s="447" t="s">
        <v>32</v>
      </c>
      <c r="C80" s="450">
        <f>COUNTIFS('1. All Data'!$AB$3:$AB$136,"Regeneration and Development",'1. All Data'!$H$3:$H$136,"In Danger of Falling Behind Target")</f>
        <v>2</v>
      </c>
      <c r="D80" s="438">
        <f>C80/C89</f>
        <v>0.08</v>
      </c>
      <c r="E80" s="438">
        <f>D80</f>
        <v>0.08</v>
      </c>
      <c r="F80" s="441">
        <f>C80/C90</f>
        <v>0.1111111111111111</v>
      </c>
      <c r="G80" s="444">
        <f>F80</f>
        <v>0.1111111111111111</v>
      </c>
      <c r="I80" s="447" t="s">
        <v>32</v>
      </c>
      <c r="J80" s="450">
        <f>COUNTIFS('1. All Data'!$AB$3:$AB$136,"Regeneration and Development",'1. All Data'!$M$3:$M$136,"In Danger of Falling Behind Target")</f>
        <v>0</v>
      </c>
      <c r="K80" s="438">
        <f>J80/J89</f>
        <v>0</v>
      </c>
      <c r="L80" s="438">
        <f>K80</f>
        <v>0</v>
      </c>
      <c r="M80" s="441">
        <f>J80/J90</f>
        <v>0</v>
      </c>
      <c r="N80" s="444">
        <f>M80</f>
        <v>0</v>
      </c>
      <c r="P80" s="447" t="s">
        <v>32</v>
      </c>
      <c r="Q80" s="450">
        <f>COUNTIFS('1. All Data'!$AB$3:$AB$136,"Regeneration and Development",'1. All Data'!$R$3:$R$136,"In Danger of Falling Behind Target")</f>
        <v>1</v>
      </c>
      <c r="R80" s="438">
        <f>Q80/Q89</f>
        <v>0.04</v>
      </c>
      <c r="S80" s="438">
        <f>R80</f>
        <v>0.04</v>
      </c>
      <c r="T80" s="441">
        <f>Q80/Q90</f>
        <v>4.3478260869565216E-2</v>
      </c>
      <c r="U80" s="444">
        <f>T80</f>
        <v>4.3478260869565216E-2</v>
      </c>
      <c r="W80" s="169" t="s">
        <v>24</v>
      </c>
      <c r="X80" s="170">
        <f>COUNTIFS('1. All Data'!$AB$3:$AB$136,"Regeneration and Development",'1. All Data'!$V$3:$V$136,"Numerical Outturn Within 10% Tolerance")</f>
        <v>0</v>
      </c>
      <c r="Y80" s="168">
        <f>X80/X89</f>
        <v>0</v>
      </c>
      <c r="Z80" s="413">
        <f>SUM(Y80:Y82)</f>
        <v>0.04</v>
      </c>
      <c r="AA80" s="168">
        <f>X80/X90</f>
        <v>0</v>
      </c>
      <c r="AB80" s="422">
        <f>SUM(AA80:AA82)</f>
        <v>4.1666666666666664E-2</v>
      </c>
      <c r="AC80" s="166"/>
    </row>
    <row r="81" spans="2:29" ht="16.5" customHeight="1">
      <c r="B81" s="448"/>
      <c r="C81" s="451"/>
      <c r="D81" s="439"/>
      <c r="E81" s="439"/>
      <c r="F81" s="442"/>
      <c r="G81" s="445"/>
      <c r="I81" s="448"/>
      <c r="J81" s="451"/>
      <c r="K81" s="439"/>
      <c r="L81" s="439"/>
      <c r="M81" s="442"/>
      <c r="N81" s="445"/>
      <c r="P81" s="448"/>
      <c r="Q81" s="451"/>
      <c r="R81" s="439"/>
      <c r="S81" s="439"/>
      <c r="T81" s="442"/>
      <c r="U81" s="445"/>
      <c r="W81" s="169" t="s">
        <v>25</v>
      </c>
      <c r="X81" s="170">
        <f>COUNTIFS('1. All Data'!$AB$3:$AB$136,"Regeneration and Development",'1. All Data'!$V$3:$V$136,"Target Partially Met")</f>
        <v>0</v>
      </c>
      <c r="Y81" s="168">
        <f>X81/X89</f>
        <v>0</v>
      </c>
      <c r="Z81" s="413"/>
      <c r="AA81" s="168">
        <f>X81/X90</f>
        <v>0</v>
      </c>
      <c r="AB81" s="422"/>
      <c r="AC81" s="166"/>
    </row>
    <row r="82" spans="2:29" ht="16.5" customHeight="1">
      <c r="B82" s="449"/>
      <c r="C82" s="452"/>
      <c r="D82" s="440"/>
      <c r="E82" s="440"/>
      <c r="F82" s="443"/>
      <c r="G82" s="446"/>
      <c r="I82" s="449"/>
      <c r="J82" s="452"/>
      <c r="K82" s="440"/>
      <c r="L82" s="440"/>
      <c r="M82" s="443"/>
      <c r="N82" s="446"/>
      <c r="P82" s="449"/>
      <c r="Q82" s="452"/>
      <c r="R82" s="440"/>
      <c r="S82" s="440"/>
      <c r="T82" s="443"/>
      <c r="U82" s="446"/>
      <c r="W82" s="169" t="s">
        <v>28</v>
      </c>
      <c r="X82" s="170">
        <f>COUNTIFS('1. All Data'!$AB$3:$AB$136,"Regeneration and Development",'1. All Data'!$V$3:$V$136,"Completion Date Within Reasonable Tolerance")</f>
        <v>1</v>
      </c>
      <c r="Y82" s="168">
        <f>X82/X89</f>
        <v>0.04</v>
      </c>
      <c r="Z82" s="413"/>
      <c r="AA82" s="168">
        <f>X82/X90</f>
        <v>4.1666666666666664E-2</v>
      </c>
      <c r="AB82" s="422"/>
      <c r="AC82" s="166"/>
    </row>
    <row r="83" spans="2:29" ht="22.5" customHeight="1">
      <c r="B83" s="211" t="s">
        <v>33</v>
      </c>
      <c r="C83" s="208">
        <f>COUNTIFS('1. All Data'!$AB$3:$AB$136,"Regeneration and Development",'1. All Data'!$H$3:$H$136,"Completed Behind Schedule")</f>
        <v>0</v>
      </c>
      <c r="D83" s="209">
        <f>C83/C89</f>
        <v>0</v>
      </c>
      <c r="E83" s="435">
        <f>D83+D84</f>
        <v>0</v>
      </c>
      <c r="F83" s="210">
        <f>C83/C90</f>
        <v>0</v>
      </c>
      <c r="G83" s="436">
        <f>F83+F84</f>
        <v>0</v>
      </c>
      <c r="I83" s="211" t="s">
        <v>33</v>
      </c>
      <c r="J83" s="208">
        <f>COUNTIFS('1. All Data'!$AB$3:$AB$136,"Regeneration and Development",'1. All Data'!$M$3:$M$136,"Completed Behind Schedule")</f>
        <v>0</v>
      </c>
      <c r="K83" s="209">
        <f>J83/J89</f>
        <v>0</v>
      </c>
      <c r="L83" s="435">
        <f>K83+K84</f>
        <v>0.08</v>
      </c>
      <c r="M83" s="210">
        <f>J83/J90</f>
        <v>0</v>
      </c>
      <c r="N83" s="436">
        <f>M83+M84</f>
        <v>9.0909090909090912E-2</v>
      </c>
      <c r="P83" s="211" t="s">
        <v>33</v>
      </c>
      <c r="Q83" s="208">
        <f>COUNTIFS('1. All Data'!$AB$3:$AB$136,"Regeneration and Development",'1. All Data'!$R$3:$R$136,"Completed Behind Schedule")</f>
        <v>1</v>
      </c>
      <c r="R83" s="209">
        <f>Q83/Q89</f>
        <v>0.04</v>
      </c>
      <c r="S83" s="435">
        <f>R83+R84</f>
        <v>0.08</v>
      </c>
      <c r="T83" s="210">
        <f>Q83/Q90</f>
        <v>4.3478260869565216E-2</v>
      </c>
      <c r="U83" s="436">
        <f>T83+T84</f>
        <v>8.6956521739130432E-2</v>
      </c>
      <c r="W83" s="171" t="s">
        <v>27</v>
      </c>
      <c r="X83" s="208">
        <f>COUNTIFS('1. All Data'!$AB$3:$AB$136,"Regeneration and Development",'1. All Data'!$V$3:$V$136,"Completed Significantly After Target Deadline")</f>
        <v>0</v>
      </c>
      <c r="Y83" s="209">
        <f>X83/X89</f>
        <v>0</v>
      </c>
      <c r="Z83" s="435">
        <f>Y83+Y84</f>
        <v>0.04</v>
      </c>
      <c r="AA83" s="168">
        <f>X83/X90</f>
        <v>0</v>
      </c>
      <c r="AB83" s="414">
        <f>AA83+AA84</f>
        <v>4.1666666666666664E-2</v>
      </c>
      <c r="AC83" s="166"/>
    </row>
    <row r="84" spans="2:29" ht="22.5" customHeight="1">
      <c r="B84" s="211" t="s">
        <v>26</v>
      </c>
      <c r="C84" s="208">
        <f>COUNTIFS('1. All Data'!$AB$3:$AB$136,"Regeneration and Development",'1. All Data'!$H$3:$H$136,"Off Target")</f>
        <v>0</v>
      </c>
      <c r="D84" s="209">
        <f>C84/C89</f>
        <v>0</v>
      </c>
      <c r="E84" s="435"/>
      <c r="F84" s="210">
        <f>C84/C90</f>
        <v>0</v>
      </c>
      <c r="G84" s="436"/>
      <c r="I84" s="211" t="s">
        <v>26</v>
      </c>
      <c r="J84" s="208">
        <f>COUNTIFS('1. All Data'!$AB$3:$AB$136,"Regeneration and Development",'1. All Data'!$M$3:$M$136,"Off Target")</f>
        <v>2</v>
      </c>
      <c r="K84" s="209">
        <f>J84/J89</f>
        <v>0.08</v>
      </c>
      <c r="L84" s="435"/>
      <c r="M84" s="210">
        <f>J84/J90</f>
        <v>9.0909090909090912E-2</v>
      </c>
      <c r="N84" s="436"/>
      <c r="P84" s="211" t="s">
        <v>26</v>
      </c>
      <c r="Q84" s="208">
        <f>COUNTIFS('1. All Data'!$AB$3:$AB$136,"Regeneration and Development",'1. All Data'!$R$3:$R$136,"Off Target")</f>
        <v>1</v>
      </c>
      <c r="R84" s="209">
        <f>Q84/Q89</f>
        <v>0.04</v>
      </c>
      <c r="S84" s="435"/>
      <c r="T84" s="210">
        <f>Q84/Q90</f>
        <v>4.3478260869565216E-2</v>
      </c>
      <c r="U84" s="436"/>
      <c r="W84" s="171" t="s">
        <v>26</v>
      </c>
      <c r="X84" s="208">
        <f>COUNTIFS('1. All Data'!$AB$3:$AB$136,"Regeneration and Development",'1. All Data'!$V$3:$V$136,"Off Target")</f>
        <v>1</v>
      </c>
      <c r="Y84" s="209">
        <f>X84/X89</f>
        <v>0.04</v>
      </c>
      <c r="Z84" s="435"/>
      <c r="AA84" s="168">
        <f>X84/X90</f>
        <v>4.1666666666666664E-2</v>
      </c>
      <c r="AB84" s="414"/>
      <c r="AC84" s="166"/>
    </row>
    <row r="85" spans="2:29" ht="15.75" customHeight="1">
      <c r="B85" s="212" t="s">
        <v>49</v>
      </c>
      <c r="C85" s="208">
        <f>COUNTIFS('1. All Data'!$AB$3:$AB$136,"Regeneration and Development",'1. All Data'!$H$3:$H$136,"Not yet due")</f>
        <v>7</v>
      </c>
      <c r="D85" s="213">
        <f>C85/C89</f>
        <v>0.28000000000000003</v>
      </c>
      <c r="E85" s="213">
        <f>D85</f>
        <v>0.28000000000000003</v>
      </c>
      <c r="F85" s="214"/>
      <c r="G85" s="58"/>
      <c r="I85" s="212" t="s">
        <v>49</v>
      </c>
      <c r="J85" s="208">
        <f>COUNTIFS('1. All Data'!$AB$3:$AB$136,"Regeneration and Development",'1. All Data'!$M$3:$M$136,"Not yet due")</f>
        <v>2</v>
      </c>
      <c r="K85" s="213">
        <f>J85/J89</f>
        <v>0.08</v>
      </c>
      <c r="L85" s="213">
        <f>K85</f>
        <v>0.08</v>
      </c>
      <c r="M85" s="214"/>
      <c r="N85" s="58"/>
      <c r="P85" s="212" t="s">
        <v>49</v>
      </c>
      <c r="Q85" s="208">
        <f>COUNTIFS('1. All Data'!$AB$3:$AB$136,"Regeneration and Development",'1. All Data'!$R$3:$R$136,"Not yet due")</f>
        <v>1</v>
      </c>
      <c r="R85" s="213">
        <f>Q85/Q89</f>
        <v>0.04</v>
      </c>
      <c r="S85" s="213">
        <f>R85</f>
        <v>0.04</v>
      </c>
      <c r="T85" s="214"/>
      <c r="U85" s="58"/>
      <c r="W85" s="172" t="s">
        <v>49</v>
      </c>
      <c r="X85" s="208">
        <f>COUNTIFS('1. All Data'!$AB$3:$AB$136,"Regeneration and Development",'1. All Data'!$V$3:$V$136,"Not yet due")</f>
        <v>0</v>
      </c>
      <c r="Y85" s="213">
        <f>X85/X89</f>
        <v>0</v>
      </c>
      <c r="Z85" s="213">
        <f>Y85</f>
        <v>0</v>
      </c>
      <c r="AA85" s="174"/>
      <c r="AB85" s="58"/>
      <c r="AC85" s="166"/>
    </row>
    <row r="86" spans="2:29" ht="15.75" customHeight="1">
      <c r="B86" s="212" t="s">
        <v>21</v>
      </c>
      <c r="C86" s="208">
        <f>COUNTIFS('1. All Data'!$AB$3:$AB$136,"Regeneration and Development",'1. All Data'!$H$3:$H$136,"Update not provided")</f>
        <v>0</v>
      </c>
      <c r="D86" s="213">
        <f>C86/C89</f>
        <v>0</v>
      </c>
      <c r="E86" s="213">
        <f>D86</f>
        <v>0</v>
      </c>
      <c r="F86" s="214"/>
      <c r="G86" s="2"/>
      <c r="I86" s="212" t="s">
        <v>21</v>
      </c>
      <c r="J86" s="208">
        <f>COUNTIFS('1. All Data'!$AB$3:$AB$136,"Regeneration and Development",'1. All Data'!$M$3:$M$136,"Update not provided")</f>
        <v>0</v>
      </c>
      <c r="K86" s="213">
        <f>J86/J89</f>
        <v>0</v>
      </c>
      <c r="L86" s="213">
        <f>K86</f>
        <v>0</v>
      </c>
      <c r="M86" s="214"/>
      <c r="N86" s="2"/>
      <c r="P86" s="212" t="s">
        <v>21</v>
      </c>
      <c r="Q86" s="208">
        <f>COUNTIFS('1. All Data'!$AB$3:$AB$136,"Regeneration and Development",'1. All Data'!$R$3:$R$136,"Update not provided")</f>
        <v>0</v>
      </c>
      <c r="R86" s="213">
        <f>Q86/Q89</f>
        <v>0</v>
      </c>
      <c r="S86" s="213">
        <f>R86</f>
        <v>0</v>
      </c>
      <c r="T86" s="214"/>
      <c r="U86" s="2"/>
      <c r="W86" s="172" t="s">
        <v>21</v>
      </c>
      <c r="X86" s="208">
        <f>COUNTIFS('1. All Data'!$AB$3:$AB$136,"Regeneration and Development",'1. All Data'!$V$3:$V$136,"Update not provided")</f>
        <v>0</v>
      </c>
      <c r="Y86" s="213">
        <f>X86/X89</f>
        <v>0</v>
      </c>
      <c r="Z86" s="213">
        <f>Y86</f>
        <v>0</v>
      </c>
      <c r="AA86" s="174"/>
      <c r="AB86" s="2"/>
      <c r="AC86" s="166"/>
    </row>
    <row r="87" spans="2:29" ht="15.75" customHeight="1">
      <c r="B87" s="215" t="s">
        <v>29</v>
      </c>
      <c r="C87" s="208">
        <f>COUNTIFS('1. All Data'!$AB$3:$AB$136,"Regeneration and Development",'1. All Data'!$H$3:$H$136,"Deferred")</f>
        <v>0</v>
      </c>
      <c r="D87" s="216">
        <f>C87/C89</f>
        <v>0</v>
      </c>
      <c r="E87" s="216">
        <f>D87</f>
        <v>0</v>
      </c>
      <c r="F87" s="217"/>
      <c r="G87" s="58"/>
      <c r="I87" s="215" t="s">
        <v>29</v>
      </c>
      <c r="J87" s="208">
        <f>COUNTIFS('1. All Data'!$AB$3:$AB$136,"Regeneration and Development",'1. All Data'!$M$3:$M$136,"Deferred")</f>
        <v>0</v>
      </c>
      <c r="K87" s="216">
        <f>J87/J89</f>
        <v>0</v>
      </c>
      <c r="L87" s="216">
        <f>K87</f>
        <v>0</v>
      </c>
      <c r="M87" s="217"/>
      <c r="N87" s="58"/>
      <c r="P87" s="215" t="s">
        <v>29</v>
      </c>
      <c r="Q87" s="208">
        <f>COUNTIFS('1. All Data'!$AB$3:$AB$136,"Regeneration and Development",'1. All Data'!$R$3:$R$136,"Deferred")</f>
        <v>0</v>
      </c>
      <c r="R87" s="216">
        <f>Q87/Q89</f>
        <v>0</v>
      </c>
      <c r="S87" s="216">
        <f>R87</f>
        <v>0</v>
      </c>
      <c r="T87" s="217"/>
      <c r="U87" s="58"/>
      <c r="W87" s="175" t="s">
        <v>29</v>
      </c>
      <c r="X87" s="208">
        <f>COUNTIFS('1. All Data'!$AB$3:$AB$136,"Regeneration and Development",'1. All Data'!$V$3:$V$136,"Deferred")</f>
        <v>0</v>
      </c>
      <c r="Y87" s="216">
        <f>X87/X89</f>
        <v>0</v>
      </c>
      <c r="Z87" s="216">
        <f>Y87</f>
        <v>0</v>
      </c>
      <c r="AA87" s="177"/>
      <c r="AB87" s="58"/>
      <c r="AC87" s="166"/>
    </row>
    <row r="88" spans="2:29" ht="15.75" customHeight="1">
      <c r="B88" s="215" t="s">
        <v>30</v>
      </c>
      <c r="C88" s="208">
        <f>COUNTIFS('1. All Data'!$AB$3:$AB$136,"Regeneration and Development",'1. All Data'!$H$3:$H$136,"Deleted")</f>
        <v>0</v>
      </c>
      <c r="D88" s="216">
        <f>C88/C89</f>
        <v>0</v>
      </c>
      <c r="E88" s="216">
        <f>D88</f>
        <v>0</v>
      </c>
      <c r="F88" s="217"/>
      <c r="G88" s="29"/>
      <c r="I88" s="215" t="s">
        <v>30</v>
      </c>
      <c r="J88" s="208">
        <f>COUNTIFS('1. All Data'!$AB$3:$AB$136,"Regeneration and Development",'1. All Data'!$M$3:$M$136,"Deleted")</f>
        <v>1</v>
      </c>
      <c r="K88" s="216">
        <f>J88/J89</f>
        <v>0.04</v>
      </c>
      <c r="L88" s="216">
        <f>K88</f>
        <v>0.04</v>
      </c>
      <c r="M88" s="217"/>
      <c r="N88" s="29"/>
      <c r="P88" s="215" t="s">
        <v>30</v>
      </c>
      <c r="Q88" s="208">
        <f>COUNTIFS('1. All Data'!$AB$3:$AB$136,"Regeneration and Development",'1. All Data'!$R$3:$R$136,"Deleted")</f>
        <v>1</v>
      </c>
      <c r="R88" s="216">
        <f>Q88/Q89</f>
        <v>0.04</v>
      </c>
      <c r="S88" s="216">
        <f>R88</f>
        <v>0.04</v>
      </c>
      <c r="T88" s="217"/>
      <c r="U88" s="29"/>
      <c r="W88" s="175" t="s">
        <v>30</v>
      </c>
      <c r="X88" s="208">
        <f>COUNTIFS('1. All Data'!$AB$3:$AB$136,"Regeneration and Development",'1. All Data'!$V$3:$V$136,"Deleted")</f>
        <v>1</v>
      </c>
      <c r="Y88" s="216">
        <f>X88/X89</f>
        <v>0.04</v>
      </c>
      <c r="Z88" s="216">
        <f>Y88</f>
        <v>0.04</v>
      </c>
      <c r="AA88" s="177"/>
      <c r="AB88" s="3"/>
      <c r="AC88" s="166"/>
    </row>
    <row r="89" spans="2:29" ht="15.75" customHeight="1">
      <c r="B89" s="218" t="s">
        <v>51</v>
      </c>
      <c r="C89" s="219">
        <f>SUM(C78:C88)</f>
        <v>25</v>
      </c>
      <c r="D89" s="177"/>
      <c r="E89" s="177"/>
      <c r="F89" s="220"/>
      <c r="G89" s="58"/>
      <c r="I89" s="218" t="s">
        <v>51</v>
      </c>
      <c r="J89" s="219">
        <f>SUM(J78:J88)</f>
        <v>25</v>
      </c>
      <c r="K89" s="177"/>
      <c r="L89" s="177"/>
      <c r="M89" s="220"/>
      <c r="N89" s="58"/>
      <c r="P89" s="218" t="s">
        <v>51</v>
      </c>
      <c r="Q89" s="219">
        <f>SUM(Q78:Q88)</f>
        <v>25</v>
      </c>
      <c r="R89" s="177"/>
      <c r="S89" s="177"/>
      <c r="T89" s="220"/>
      <c r="U89" s="58"/>
      <c r="W89" s="178" t="s">
        <v>51</v>
      </c>
      <c r="X89" s="219">
        <f>SUM(X78:X88)</f>
        <v>25</v>
      </c>
      <c r="Y89" s="177"/>
      <c r="Z89" s="177"/>
      <c r="AA89" s="58"/>
      <c r="AB89" s="58"/>
      <c r="AC89" s="166"/>
    </row>
    <row r="90" spans="2:29" ht="15.75" customHeight="1">
      <c r="B90" s="218" t="s">
        <v>52</v>
      </c>
      <c r="C90" s="219">
        <f>C89-C88-C87-C86-C85</f>
        <v>18</v>
      </c>
      <c r="D90" s="58"/>
      <c r="E90" s="58"/>
      <c r="F90" s="220"/>
      <c r="G90" s="58"/>
      <c r="I90" s="218" t="s">
        <v>52</v>
      </c>
      <c r="J90" s="219">
        <f>J89-J88-J87-J86-J85</f>
        <v>22</v>
      </c>
      <c r="K90" s="58"/>
      <c r="L90" s="58"/>
      <c r="M90" s="220"/>
      <c r="N90" s="58"/>
      <c r="P90" s="218" t="s">
        <v>52</v>
      </c>
      <c r="Q90" s="219">
        <f>Q89-Q88-Q87-Q86-Q85</f>
        <v>23</v>
      </c>
      <c r="R90" s="58"/>
      <c r="S90" s="58"/>
      <c r="T90" s="220"/>
      <c r="U90" s="58"/>
      <c r="W90" s="178" t="s">
        <v>52</v>
      </c>
      <c r="X90" s="219">
        <f>X89-X88-X87-X86-X85</f>
        <v>24</v>
      </c>
      <c r="Y90" s="58"/>
      <c r="Z90" s="58"/>
      <c r="AA90" s="58"/>
      <c r="AB90" s="58"/>
      <c r="AC90" s="166"/>
    </row>
    <row r="91" spans="2:29" ht="15.75" customHeight="1">
      <c r="W91" s="180"/>
      <c r="AA91" s="2"/>
      <c r="AC91" s="166"/>
    </row>
    <row r="92" spans="2:29" ht="15.75" customHeight="1">
      <c r="W92" s="165"/>
      <c r="X92" s="165"/>
      <c r="Y92" s="165"/>
      <c r="Z92" s="165"/>
      <c r="AA92" s="165"/>
      <c r="AB92" s="186"/>
      <c r="AC92" s="166"/>
    </row>
    <row r="93" spans="2:29" ht="15.75" customHeight="1">
      <c r="W93" s="165"/>
      <c r="X93" s="165"/>
      <c r="Y93" s="165"/>
      <c r="Z93" s="165"/>
      <c r="AA93" s="165"/>
      <c r="AB93" s="186"/>
      <c r="AC93" s="166"/>
    </row>
    <row r="94" spans="2:29" ht="15.75">
      <c r="B94" s="225" t="s">
        <v>109</v>
      </c>
      <c r="C94" s="204"/>
      <c r="D94" s="204"/>
      <c r="E94" s="204"/>
      <c r="F94" s="205"/>
      <c r="G94" s="204"/>
      <c r="I94" s="225" t="s">
        <v>109</v>
      </c>
      <c r="J94" s="204"/>
      <c r="K94" s="204"/>
      <c r="L94" s="204"/>
      <c r="M94" s="205"/>
      <c r="N94" s="204"/>
      <c r="O94" s="166"/>
      <c r="P94" s="225" t="s">
        <v>109</v>
      </c>
      <c r="Q94" s="204"/>
      <c r="R94" s="204"/>
      <c r="S94" s="204"/>
      <c r="T94" s="205"/>
      <c r="U94" s="204"/>
      <c r="V94" s="166"/>
      <c r="W94" s="225" t="s">
        <v>109</v>
      </c>
      <c r="X94" s="204"/>
      <c r="Y94" s="204"/>
      <c r="Z94" s="204"/>
      <c r="AA94" s="205"/>
      <c r="AB94" s="204"/>
      <c r="AC94" s="166"/>
    </row>
    <row r="95" spans="2:29" ht="47.25">
      <c r="B95" s="206" t="s">
        <v>42</v>
      </c>
      <c r="C95" s="207" t="s">
        <v>43</v>
      </c>
      <c r="D95" s="207" t="s">
        <v>44</v>
      </c>
      <c r="E95" s="207" t="s">
        <v>45</v>
      </c>
      <c r="F95" s="206" t="s">
        <v>46</v>
      </c>
      <c r="G95" s="207" t="s">
        <v>47</v>
      </c>
      <c r="I95" s="206" t="s">
        <v>42</v>
      </c>
      <c r="J95" s="207" t="s">
        <v>43</v>
      </c>
      <c r="K95" s="207" t="s">
        <v>44</v>
      </c>
      <c r="L95" s="207" t="s">
        <v>45</v>
      </c>
      <c r="M95" s="206" t="s">
        <v>46</v>
      </c>
      <c r="N95" s="207" t="s">
        <v>47</v>
      </c>
      <c r="P95" s="206" t="s">
        <v>42</v>
      </c>
      <c r="Q95" s="207" t="s">
        <v>43</v>
      </c>
      <c r="R95" s="207" t="s">
        <v>44</v>
      </c>
      <c r="S95" s="207" t="s">
        <v>45</v>
      </c>
      <c r="T95" s="206" t="s">
        <v>46</v>
      </c>
      <c r="U95" s="207" t="s">
        <v>47</v>
      </c>
      <c r="W95" s="164" t="s">
        <v>42</v>
      </c>
      <c r="X95" s="164" t="s">
        <v>43</v>
      </c>
      <c r="Y95" s="164" t="s">
        <v>44</v>
      </c>
      <c r="Z95" s="164" t="s">
        <v>45</v>
      </c>
      <c r="AA95" s="164" t="s">
        <v>46</v>
      </c>
      <c r="AB95" s="164" t="s">
        <v>47</v>
      </c>
      <c r="AC95" s="166"/>
    </row>
    <row r="96" spans="2:29" ht="15.75">
      <c r="B96" s="228" t="s">
        <v>48</v>
      </c>
      <c r="C96" s="208">
        <f>COUNTIFS('1. All Data'!$AB$3:$AB$136,"Tourism and Cultural Development",'1. All Data'!$H$3:$H$136,"Fully Achieved")</f>
        <v>1</v>
      </c>
      <c r="D96" s="251">
        <f>C96/C107</f>
        <v>4.5454545454545456E-2</v>
      </c>
      <c r="E96" s="435">
        <f>D96+D97</f>
        <v>0.72727272727272718</v>
      </c>
      <c r="F96" s="210">
        <f>C96/C108</f>
        <v>6.25E-2</v>
      </c>
      <c r="G96" s="437">
        <f>F96+F97</f>
        <v>1</v>
      </c>
      <c r="I96" s="228" t="s">
        <v>48</v>
      </c>
      <c r="J96" s="208">
        <f>COUNTIFS('1. All Data'!$AB$3:$AB$136,"Tourism and Cultural Development",'1. All Data'!$M$3:$M$136,"Fully Achieved")</f>
        <v>7</v>
      </c>
      <c r="K96" s="251">
        <f>J96/J107</f>
        <v>0.31818181818181818</v>
      </c>
      <c r="L96" s="435">
        <f>K96+K97</f>
        <v>0.86363636363636354</v>
      </c>
      <c r="M96" s="210">
        <f>J96/J108</f>
        <v>0.35</v>
      </c>
      <c r="N96" s="437">
        <f>M96+M97</f>
        <v>0.95</v>
      </c>
      <c r="P96" s="228" t="s">
        <v>48</v>
      </c>
      <c r="Q96" s="208">
        <f>COUNTIFS('1. All Data'!$AB$3:$AB$136,"Tourism and Cultural Development",'1. All Data'!$R$3:$R$136,"Fully Achieved")</f>
        <v>13</v>
      </c>
      <c r="R96" s="251">
        <f>Q96/Q107</f>
        <v>0.59090909090909094</v>
      </c>
      <c r="S96" s="435">
        <f>R96+R97</f>
        <v>0.86363636363636365</v>
      </c>
      <c r="T96" s="210">
        <f>Q96/Q108</f>
        <v>0.65</v>
      </c>
      <c r="U96" s="437">
        <f>T96+T97</f>
        <v>0.95</v>
      </c>
      <c r="W96" s="228" t="s">
        <v>48</v>
      </c>
      <c r="X96" s="208">
        <f>COUNTIFS('1. All Data'!$AB$3:$AB$136,"Tourism and Cultural Development",'1. All Data'!$V$3:$V$136,"Fully Achieved")</f>
        <v>20</v>
      </c>
      <c r="Y96" s="251">
        <f>X96/X107</f>
        <v>0.90909090909090906</v>
      </c>
      <c r="Z96" s="435">
        <f>Y96+Y97</f>
        <v>0.90909090909090906</v>
      </c>
      <c r="AA96" s="251">
        <f>X96/X108</f>
        <v>0.95238095238095233</v>
      </c>
      <c r="AB96" s="415">
        <f>AA96+AA97</f>
        <v>0.95238095238095233</v>
      </c>
      <c r="AC96" s="166"/>
    </row>
    <row r="97" spans="2:29" ht="15.75">
      <c r="B97" s="228" t="s">
        <v>31</v>
      </c>
      <c r="C97" s="208">
        <f>COUNTIFS('1. All Data'!$AB$3:$AB$136,"Tourism and Cultural Development",'1. All Data'!$H$3:$H$136,"On Track to be Achieved")</f>
        <v>15</v>
      </c>
      <c r="D97" s="251">
        <f>C97/C107</f>
        <v>0.68181818181818177</v>
      </c>
      <c r="E97" s="435"/>
      <c r="F97" s="210">
        <f>C97/C108</f>
        <v>0.9375</v>
      </c>
      <c r="G97" s="437"/>
      <c r="I97" s="228" t="s">
        <v>31</v>
      </c>
      <c r="J97" s="208">
        <f>COUNTIFS('1. All Data'!$AB$3:$AB$136,"Tourism and Cultural Development",'1. All Data'!$M$3:$M$136,"On Track to be Achieved")</f>
        <v>12</v>
      </c>
      <c r="K97" s="251">
        <f>J97/J107</f>
        <v>0.54545454545454541</v>
      </c>
      <c r="L97" s="435"/>
      <c r="M97" s="210">
        <f>J97/J108</f>
        <v>0.6</v>
      </c>
      <c r="N97" s="437"/>
      <c r="P97" s="228" t="s">
        <v>31</v>
      </c>
      <c r="Q97" s="208">
        <f>COUNTIFS('1. All Data'!$AB$3:$AB$136,"Tourism and Cultural Development",'1. All Data'!$R$3:$R$136,"On Track to be Achieved")</f>
        <v>6</v>
      </c>
      <c r="R97" s="251">
        <f>Q97/Q107</f>
        <v>0.27272727272727271</v>
      </c>
      <c r="S97" s="435"/>
      <c r="T97" s="210">
        <f>Q97/Q108</f>
        <v>0.3</v>
      </c>
      <c r="U97" s="437"/>
      <c r="W97" s="228" t="s">
        <v>23</v>
      </c>
      <c r="X97" s="208">
        <f>COUNTIFS('1. All Data'!$AB$3:$AB$136,"Tourism and Cultural Development",'1. All Data'!$V$3:$V$136,"Numerical Outturn Within 5% Tolerance")</f>
        <v>0</v>
      </c>
      <c r="Y97" s="251">
        <f>X97/X107</f>
        <v>0</v>
      </c>
      <c r="Z97" s="435"/>
      <c r="AA97" s="251">
        <f>X97/X108</f>
        <v>0</v>
      </c>
      <c r="AB97" s="415"/>
      <c r="AC97" s="166"/>
    </row>
    <row r="98" spans="2:29" ht="15.75">
      <c r="B98" s="447" t="s">
        <v>32</v>
      </c>
      <c r="C98" s="450">
        <f>COUNTIFS('1. All Data'!$AB$3:$AB$136,"Tourism and Cultural Development",'1. All Data'!$H$3:$H$136,"In Danger of Falling Behind Target")</f>
        <v>0</v>
      </c>
      <c r="D98" s="438">
        <f>C98/C107</f>
        <v>0</v>
      </c>
      <c r="E98" s="438">
        <f>D98</f>
        <v>0</v>
      </c>
      <c r="F98" s="441">
        <f>C98/C108</f>
        <v>0</v>
      </c>
      <c r="G98" s="444">
        <f>F98</f>
        <v>0</v>
      </c>
      <c r="I98" s="447" t="s">
        <v>32</v>
      </c>
      <c r="J98" s="450">
        <f>COUNTIFS('1. All Data'!$AB$3:$AB$136,"Tourism and Cultural Development",'1. All Data'!$M$3:$M$136,"In Danger of Falling Behind Target")</f>
        <v>0</v>
      </c>
      <c r="K98" s="438">
        <f>J98/J107</f>
        <v>0</v>
      </c>
      <c r="L98" s="438">
        <f>K98</f>
        <v>0</v>
      </c>
      <c r="M98" s="441">
        <f>J98/J108</f>
        <v>0</v>
      </c>
      <c r="N98" s="444">
        <f>M98</f>
        <v>0</v>
      </c>
      <c r="P98" s="447" t="s">
        <v>32</v>
      </c>
      <c r="Q98" s="450">
        <f>COUNTIFS('1. All Data'!$AB$3:$AB$136,"Tourism and Cultural Development",'1. All Data'!$R$3:$R$136,"In Danger of Falling Behind Target")</f>
        <v>0</v>
      </c>
      <c r="R98" s="438">
        <f>Q98/Q107</f>
        <v>0</v>
      </c>
      <c r="S98" s="438">
        <f>R98</f>
        <v>0</v>
      </c>
      <c r="T98" s="441">
        <f>Q98/Q108</f>
        <v>0</v>
      </c>
      <c r="U98" s="444">
        <f>T98</f>
        <v>0</v>
      </c>
      <c r="W98" s="169" t="s">
        <v>24</v>
      </c>
      <c r="X98" s="170">
        <f>COUNTIFS('1. All Data'!$AB$3:$AB$136,"Tourism and Cultural Development",'1. All Data'!$V$3:$V$136,"Numerical Outturn Within 10% Tolerance")</f>
        <v>0</v>
      </c>
      <c r="Y98" s="250">
        <f>X98/X107</f>
        <v>0</v>
      </c>
      <c r="Z98" s="413">
        <f>SUM(Y98:Y100)</f>
        <v>0</v>
      </c>
      <c r="AA98" s="250">
        <f>X98/X108</f>
        <v>0</v>
      </c>
      <c r="AB98" s="422">
        <f>SUM(AA98:AA100)</f>
        <v>0</v>
      </c>
      <c r="AC98" s="166"/>
    </row>
    <row r="99" spans="2:29" ht="15.75">
      <c r="B99" s="448"/>
      <c r="C99" s="451"/>
      <c r="D99" s="439"/>
      <c r="E99" s="439"/>
      <c r="F99" s="442"/>
      <c r="G99" s="445"/>
      <c r="I99" s="448"/>
      <c r="J99" s="451"/>
      <c r="K99" s="439"/>
      <c r="L99" s="439"/>
      <c r="M99" s="442"/>
      <c r="N99" s="445"/>
      <c r="P99" s="448"/>
      <c r="Q99" s="451"/>
      <c r="R99" s="439"/>
      <c r="S99" s="439"/>
      <c r="T99" s="442"/>
      <c r="U99" s="445"/>
      <c r="W99" s="169" t="s">
        <v>25</v>
      </c>
      <c r="X99" s="170">
        <f>COUNTIFS('1. All Data'!$AB$3:$AB$136,"Tourism and Cultural Development",'1. All Data'!$V$3:$V$136,"Target Partially Met")</f>
        <v>0</v>
      </c>
      <c r="Y99" s="250">
        <f>X99/X107</f>
        <v>0</v>
      </c>
      <c r="Z99" s="413"/>
      <c r="AA99" s="250">
        <f>X99/X108</f>
        <v>0</v>
      </c>
      <c r="AB99" s="422"/>
      <c r="AC99" s="166"/>
    </row>
    <row r="100" spans="2:29" ht="15.75">
      <c r="B100" s="449"/>
      <c r="C100" s="452"/>
      <c r="D100" s="440"/>
      <c r="E100" s="440"/>
      <c r="F100" s="443"/>
      <c r="G100" s="446"/>
      <c r="I100" s="449"/>
      <c r="J100" s="452"/>
      <c r="K100" s="440"/>
      <c r="L100" s="440"/>
      <c r="M100" s="443"/>
      <c r="N100" s="446"/>
      <c r="P100" s="449"/>
      <c r="Q100" s="452"/>
      <c r="R100" s="440"/>
      <c r="S100" s="440"/>
      <c r="T100" s="443"/>
      <c r="U100" s="446"/>
      <c r="W100" s="169" t="s">
        <v>28</v>
      </c>
      <c r="X100" s="170">
        <f>COUNTIFS('1. All Data'!$AB$3:$AB$136,"Tourism and Cultural Development",'1. All Data'!$V$3:$V$136,"Completion Date Within Reasonable Tolerance")</f>
        <v>0</v>
      </c>
      <c r="Y100" s="250">
        <f>X100/X107</f>
        <v>0</v>
      </c>
      <c r="Z100" s="413"/>
      <c r="AA100" s="250">
        <f>X100/X108</f>
        <v>0</v>
      </c>
      <c r="AB100" s="422"/>
      <c r="AC100" s="166"/>
    </row>
    <row r="101" spans="2:29" ht="31.5">
      <c r="B101" s="211" t="s">
        <v>33</v>
      </c>
      <c r="C101" s="208">
        <f>COUNTIFS('1. All Data'!$AB$3:$AB$136,"Tourism and Cultural Development",'1. All Data'!$H$3:$H$136,"Completed Behind Schedule")</f>
        <v>0</v>
      </c>
      <c r="D101" s="251">
        <f>C101/C107</f>
        <v>0</v>
      </c>
      <c r="E101" s="435">
        <f>D101+D102</f>
        <v>0</v>
      </c>
      <c r="F101" s="210">
        <f>C101/C108</f>
        <v>0</v>
      </c>
      <c r="G101" s="436">
        <f>F101+F102</f>
        <v>0</v>
      </c>
      <c r="I101" s="211" t="s">
        <v>33</v>
      </c>
      <c r="J101" s="208">
        <f>COUNTIFS('1. All Data'!$AB$3:$AB$136,"Tourism and Cultural Development",'1. All Data'!$M$3:$M$136,"Completed Behind Schedule")</f>
        <v>0</v>
      </c>
      <c r="K101" s="251">
        <f>J101/J107</f>
        <v>0</v>
      </c>
      <c r="L101" s="435">
        <f>K101+K102</f>
        <v>4.5454545454545456E-2</v>
      </c>
      <c r="M101" s="210">
        <f>J101/J108</f>
        <v>0</v>
      </c>
      <c r="N101" s="436">
        <f>M101+M102</f>
        <v>0.05</v>
      </c>
      <c r="P101" s="211" t="s">
        <v>33</v>
      </c>
      <c r="Q101" s="208">
        <f>COUNTIFS('1. All Data'!$AB$3:$AB$136,"Tourism and Cultural Development",'1. All Data'!$R$3:$R$136,"Completed Behind Schedule")</f>
        <v>0</v>
      </c>
      <c r="R101" s="251">
        <f>Q101/Q107</f>
        <v>0</v>
      </c>
      <c r="S101" s="435">
        <f>R101+R102</f>
        <v>4.5454545454545456E-2</v>
      </c>
      <c r="T101" s="210">
        <f>Q101/Q108</f>
        <v>0</v>
      </c>
      <c r="U101" s="436">
        <f>T101+T102</f>
        <v>0.05</v>
      </c>
      <c r="W101" s="171" t="s">
        <v>27</v>
      </c>
      <c r="X101" s="208">
        <f>COUNTIFS('1. All Data'!$AB$3:$AB$136,"Tourism and Cultural Development",'1. All Data'!$V$3:$V$136,"Completed Significantly After Target Deadline")</f>
        <v>0</v>
      </c>
      <c r="Y101" s="251">
        <f>X101/X107</f>
        <v>0</v>
      </c>
      <c r="Z101" s="435">
        <f>Y101+Y102</f>
        <v>4.5454545454545456E-2</v>
      </c>
      <c r="AA101" s="250">
        <f>X101/X108</f>
        <v>0</v>
      </c>
      <c r="AB101" s="414">
        <f>AA101+AA102</f>
        <v>4.7619047619047616E-2</v>
      </c>
      <c r="AC101" s="166"/>
    </row>
    <row r="102" spans="2:29" ht="15.75">
      <c r="B102" s="211" t="s">
        <v>26</v>
      </c>
      <c r="C102" s="208">
        <f>COUNTIFS('1. All Data'!$AB$3:$AB$136,"Tourism and Cultural Development",'1. All Data'!$H$3:$H$136,"Off Target")</f>
        <v>0</v>
      </c>
      <c r="D102" s="251">
        <f>C102/C107</f>
        <v>0</v>
      </c>
      <c r="E102" s="435"/>
      <c r="F102" s="210">
        <f>C102/C108</f>
        <v>0</v>
      </c>
      <c r="G102" s="436"/>
      <c r="I102" s="211" t="s">
        <v>26</v>
      </c>
      <c r="J102" s="208">
        <f>COUNTIFS('1. All Data'!$AB$3:$AB$136,"Tourism and Cultural Development",'1. All Data'!$M$3:$M$136,"Off Target")</f>
        <v>1</v>
      </c>
      <c r="K102" s="251">
        <f>J102/J107</f>
        <v>4.5454545454545456E-2</v>
      </c>
      <c r="L102" s="435"/>
      <c r="M102" s="210">
        <f>J102/J108</f>
        <v>0.05</v>
      </c>
      <c r="N102" s="436"/>
      <c r="P102" s="211" t="s">
        <v>26</v>
      </c>
      <c r="Q102" s="208">
        <f>COUNTIFS('1. All Data'!$AB$3:$AB$136,"Tourism and Cultural Development",'1. All Data'!$R$3:$R$136,"Off Target")</f>
        <v>1</v>
      </c>
      <c r="R102" s="251">
        <f>Q102/Q107</f>
        <v>4.5454545454545456E-2</v>
      </c>
      <c r="S102" s="435"/>
      <c r="T102" s="210">
        <f>Q102/Q108</f>
        <v>0.05</v>
      </c>
      <c r="U102" s="436"/>
      <c r="W102" s="171" t="s">
        <v>26</v>
      </c>
      <c r="X102" s="208">
        <f>COUNTIFS('1. All Data'!$AB$3:$AB$136,"Tourism and Cultural Development",'1. All Data'!$V$3:$V$136,"Off Target")</f>
        <v>1</v>
      </c>
      <c r="Y102" s="251">
        <f>X102/X107</f>
        <v>4.5454545454545456E-2</v>
      </c>
      <c r="Z102" s="435"/>
      <c r="AA102" s="250">
        <f>X102/X108</f>
        <v>4.7619047619047616E-2</v>
      </c>
      <c r="AB102" s="414"/>
      <c r="AC102" s="166"/>
    </row>
    <row r="103" spans="2:29" ht="15.75">
      <c r="B103" s="212" t="s">
        <v>49</v>
      </c>
      <c r="C103" s="208">
        <f>COUNTIFS('1. All Data'!$AB$3:$AB$136,"Tourism and Cultural Development",'1. All Data'!$H$3:$H$136,"Not yet due")</f>
        <v>6</v>
      </c>
      <c r="D103" s="213">
        <f>C103/C107</f>
        <v>0.27272727272727271</v>
      </c>
      <c r="E103" s="213">
        <f>D103</f>
        <v>0.27272727272727271</v>
      </c>
      <c r="F103" s="214"/>
      <c r="G103" s="58"/>
      <c r="I103" s="212" t="s">
        <v>49</v>
      </c>
      <c r="J103" s="208">
        <f>COUNTIFS('1. All Data'!$AB$3:$AB$136,"Tourism and Cultural Development",'1. All Data'!$M$3:$M$136,"Not yet due")</f>
        <v>1</v>
      </c>
      <c r="K103" s="213">
        <f>J103/J107</f>
        <v>4.5454545454545456E-2</v>
      </c>
      <c r="L103" s="213">
        <f>K103</f>
        <v>4.5454545454545456E-2</v>
      </c>
      <c r="M103" s="214"/>
      <c r="N103" s="58"/>
      <c r="P103" s="212" t="s">
        <v>49</v>
      </c>
      <c r="Q103" s="208">
        <f>COUNTIFS('1. All Data'!$AB$3:$AB$136,"Tourism and Cultural Development",'1. All Data'!$R$3:$R$136,"Not yet due")</f>
        <v>1</v>
      </c>
      <c r="R103" s="213">
        <f>Q103/Q107</f>
        <v>4.5454545454545456E-2</v>
      </c>
      <c r="S103" s="213">
        <f>R103</f>
        <v>4.5454545454545456E-2</v>
      </c>
      <c r="T103" s="214"/>
      <c r="U103" s="58"/>
      <c r="W103" s="172" t="s">
        <v>49</v>
      </c>
      <c r="X103" s="208">
        <f>COUNTIFS('1. All Data'!$AB$3:$AB$136,"Tourism and Cultural Development",'1. All Data'!$V$3:$V$136,"Not yet due")</f>
        <v>0</v>
      </c>
      <c r="Y103" s="213">
        <f>X103/X107</f>
        <v>0</v>
      </c>
      <c r="Z103" s="213">
        <f>Y103</f>
        <v>0</v>
      </c>
      <c r="AA103" s="174"/>
      <c r="AB103" s="58"/>
      <c r="AC103" s="166"/>
    </row>
    <row r="104" spans="2:29" ht="15.75">
      <c r="B104" s="212" t="s">
        <v>21</v>
      </c>
      <c r="C104" s="208">
        <f>COUNTIFS('1. All Data'!$AB$3:$AB$136,"Tourism and Cultural Development",'1. All Data'!$H$3:$H$136,"Update not provided")</f>
        <v>0</v>
      </c>
      <c r="D104" s="213">
        <f>C104/C107</f>
        <v>0</v>
      </c>
      <c r="E104" s="213">
        <f>D104</f>
        <v>0</v>
      </c>
      <c r="F104" s="214"/>
      <c r="G104" s="2"/>
      <c r="I104" s="212" t="s">
        <v>21</v>
      </c>
      <c r="J104" s="208">
        <f>COUNTIFS('1. All Data'!$AB$3:$AB$136,"Tourism and Cultural Development",'1. All Data'!$M$3:$M$136,"Update not provided")</f>
        <v>0</v>
      </c>
      <c r="K104" s="213">
        <f>J104/J107</f>
        <v>0</v>
      </c>
      <c r="L104" s="213">
        <f>K104</f>
        <v>0</v>
      </c>
      <c r="M104" s="214"/>
      <c r="N104" s="2"/>
      <c r="P104" s="212" t="s">
        <v>21</v>
      </c>
      <c r="Q104" s="208">
        <f>COUNTIFS('1. All Data'!$AB$3:$AB$136,"Tourism and Cultural Development",'1. All Data'!$R$3:$R$136,"Update not provided")</f>
        <v>0</v>
      </c>
      <c r="R104" s="213">
        <f>Q104/Q107</f>
        <v>0</v>
      </c>
      <c r="S104" s="213">
        <f>R104</f>
        <v>0</v>
      </c>
      <c r="T104" s="214"/>
      <c r="U104" s="2"/>
      <c r="W104" s="172" t="s">
        <v>21</v>
      </c>
      <c r="X104" s="208">
        <f>COUNTIFS('1. All Data'!$AB$3:$AB$136,"Tourism and Cultural Development",'1. All Data'!$V$3:$V$136,"Update not provided")</f>
        <v>0</v>
      </c>
      <c r="Y104" s="213">
        <f>X104/X107</f>
        <v>0</v>
      </c>
      <c r="Z104" s="213">
        <f>Y104</f>
        <v>0</v>
      </c>
      <c r="AA104" s="174"/>
      <c r="AB104" s="2"/>
      <c r="AC104" s="166"/>
    </row>
    <row r="105" spans="2:29" ht="15.75">
      <c r="B105" s="215" t="s">
        <v>29</v>
      </c>
      <c r="C105" s="208">
        <f>COUNTIFS('1. All Data'!$AB$3:$AB$136,"Tourism and Cultural Development",'1. All Data'!$H$3:$H$136,"Deferred")</f>
        <v>0</v>
      </c>
      <c r="D105" s="216">
        <f>C105/C107</f>
        <v>0</v>
      </c>
      <c r="E105" s="216">
        <f>D105</f>
        <v>0</v>
      </c>
      <c r="F105" s="217"/>
      <c r="G105" s="58"/>
      <c r="I105" s="215" t="s">
        <v>29</v>
      </c>
      <c r="J105" s="208">
        <f>COUNTIFS('1. All Data'!$AB$3:$AB$136,"Tourism and Cultural Development",'1. All Data'!$M$3:$M$136,"Deferred")</f>
        <v>0</v>
      </c>
      <c r="K105" s="216">
        <f>J105/J107</f>
        <v>0</v>
      </c>
      <c r="L105" s="216">
        <f>K105</f>
        <v>0</v>
      </c>
      <c r="M105" s="217"/>
      <c r="N105" s="58"/>
      <c r="P105" s="215" t="s">
        <v>29</v>
      </c>
      <c r="Q105" s="208">
        <f>COUNTIFS('1. All Data'!$AB$3:$AB$136,"Tourism and Cultural Development",'1. All Data'!$R$3:$R$136,"Deferred")</f>
        <v>0</v>
      </c>
      <c r="R105" s="216">
        <f>Q105/Q107</f>
        <v>0</v>
      </c>
      <c r="S105" s="216">
        <f>R105</f>
        <v>0</v>
      </c>
      <c r="T105" s="217"/>
      <c r="U105" s="58"/>
      <c r="W105" s="175" t="s">
        <v>29</v>
      </c>
      <c r="X105" s="208">
        <f>COUNTIFS('1. All Data'!$AB$3:$AB$136,"Tourism and Cultural Development",'1. All Data'!$V$3:$V$136,"Deferred")</f>
        <v>0</v>
      </c>
      <c r="Y105" s="216">
        <f>X105/X107</f>
        <v>0</v>
      </c>
      <c r="Z105" s="216">
        <f>Y105</f>
        <v>0</v>
      </c>
      <c r="AA105" s="177"/>
      <c r="AB105" s="58"/>
      <c r="AC105" s="166"/>
    </row>
    <row r="106" spans="2:29" ht="15.75">
      <c r="B106" s="215" t="s">
        <v>30</v>
      </c>
      <c r="C106" s="208">
        <f>COUNTIFS('1. All Data'!$AB$3:$AB$136,"Tourism and Cultural Development",'1. All Data'!$H$3:$H$136,"Deleted")</f>
        <v>0</v>
      </c>
      <c r="D106" s="216">
        <f>C106/C107</f>
        <v>0</v>
      </c>
      <c r="E106" s="216">
        <f>D106</f>
        <v>0</v>
      </c>
      <c r="F106" s="217"/>
      <c r="G106" s="29"/>
      <c r="I106" s="215" t="s">
        <v>30</v>
      </c>
      <c r="J106" s="208">
        <f>COUNTIFS('1. All Data'!$AB$3:$AB$136,"Tourism and Cultural Development",'1. All Data'!$M$3:$M$136,"Deleted")</f>
        <v>1</v>
      </c>
      <c r="K106" s="216">
        <f>J106/J107</f>
        <v>4.5454545454545456E-2</v>
      </c>
      <c r="L106" s="216">
        <f>K106</f>
        <v>4.5454545454545456E-2</v>
      </c>
      <c r="M106" s="217"/>
      <c r="N106" s="29"/>
      <c r="P106" s="215" t="s">
        <v>30</v>
      </c>
      <c r="Q106" s="208">
        <f>COUNTIFS('1. All Data'!$AB$3:$AB$136,"Tourism and Cultural Development",'1. All Data'!$R$3:$R$136,"Deleted")</f>
        <v>1</v>
      </c>
      <c r="R106" s="216">
        <f>Q106/Q107</f>
        <v>4.5454545454545456E-2</v>
      </c>
      <c r="S106" s="216">
        <f>R106</f>
        <v>4.5454545454545456E-2</v>
      </c>
      <c r="T106" s="217"/>
      <c r="U106" s="29"/>
      <c r="W106" s="175" t="s">
        <v>30</v>
      </c>
      <c r="X106" s="208">
        <f>COUNTIFS('1. All Data'!$AB$3:$AB$136,"Tourism and Cultural Development",'1. All Data'!$V$3:$V$136,"Deleted")</f>
        <v>1</v>
      </c>
      <c r="Y106" s="216">
        <f>X106/X107</f>
        <v>4.5454545454545456E-2</v>
      </c>
      <c r="Z106" s="216">
        <f>Y106</f>
        <v>4.5454545454545456E-2</v>
      </c>
      <c r="AA106" s="177"/>
      <c r="AB106" s="3"/>
      <c r="AC106" s="166"/>
    </row>
    <row r="107" spans="2:29" ht="15.75">
      <c r="B107" s="218" t="s">
        <v>51</v>
      </c>
      <c r="C107" s="219">
        <f>SUM(C96:C106)</f>
        <v>22</v>
      </c>
      <c r="D107" s="177"/>
      <c r="E107" s="177"/>
      <c r="F107" s="220"/>
      <c r="G107" s="58"/>
      <c r="I107" s="218" t="s">
        <v>51</v>
      </c>
      <c r="J107" s="219">
        <f>SUM(J96:J106)</f>
        <v>22</v>
      </c>
      <c r="K107" s="177"/>
      <c r="L107" s="177"/>
      <c r="M107" s="220"/>
      <c r="N107" s="58"/>
      <c r="P107" s="218" t="s">
        <v>51</v>
      </c>
      <c r="Q107" s="219">
        <f>SUM(Q96:Q106)</f>
        <v>22</v>
      </c>
      <c r="R107" s="177"/>
      <c r="S107" s="177"/>
      <c r="T107" s="220"/>
      <c r="U107" s="58"/>
      <c r="W107" s="178" t="s">
        <v>51</v>
      </c>
      <c r="X107" s="219">
        <f>SUM(X96:X106)</f>
        <v>22</v>
      </c>
      <c r="Y107" s="177"/>
      <c r="Z107" s="177"/>
      <c r="AA107" s="58"/>
      <c r="AB107" s="58"/>
      <c r="AC107" s="166"/>
    </row>
    <row r="108" spans="2:29" ht="15.75">
      <c r="B108" s="218" t="s">
        <v>52</v>
      </c>
      <c r="C108" s="219">
        <f>C107-C106-C105-C104-C103</f>
        <v>16</v>
      </c>
      <c r="D108" s="58"/>
      <c r="E108" s="58"/>
      <c r="F108" s="220"/>
      <c r="G108" s="58"/>
      <c r="I108" s="218" t="s">
        <v>52</v>
      </c>
      <c r="J108" s="219">
        <f>J107-J106-J105-J104-J103</f>
        <v>20</v>
      </c>
      <c r="K108" s="58"/>
      <c r="L108" s="58"/>
      <c r="M108" s="220"/>
      <c r="N108" s="58"/>
      <c r="P108" s="218" t="s">
        <v>52</v>
      </c>
      <c r="Q108" s="219">
        <f>Q107-Q106-Q105-Q104-Q103</f>
        <v>20</v>
      </c>
      <c r="R108" s="58"/>
      <c r="S108" s="58"/>
      <c r="T108" s="220"/>
      <c r="U108" s="58"/>
      <c r="W108" s="178" t="s">
        <v>52</v>
      </c>
      <c r="X108" s="219">
        <f>X107-X106-X105-X104-X103</f>
        <v>21</v>
      </c>
      <c r="Y108" s="58"/>
      <c r="Z108" s="58"/>
      <c r="AA108" s="58"/>
      <c r="AB108" s="58"/>
      <c r="AC108" s="166"/>
    </row>
    <row r="109" spans="2:29">
      <c r="W109" s="165"/>
      <c r="X109" s="165"/>
      <c r="Y109" s="165"/>
      <c r="Z109" s="165"/>
      <c r="AA109" s="165"/>
      <c r="AB109" s="186"/>
      <c r="AC109" s="166"/>
    </row>
    <row r="110" spans="2:29">
      <c r="W110" s="165"/>
      <c r="X110" s="165"/>
      <c r="Y110" s="165"/>
      <c r="Z110" s="165"/>
      <c r="AA110" s="165"/>
      <c r="AB110" s="186"/>
      <c r="AC110" s="166"/>
    </row>
    <row r="111" spans="2:29">
      <c r="W111" s="165"/>
      <c r="X111" s="165"/>
      <c r="Y111" s="165"/>
      <c r="Z111" s="165"/>
      <c r="AA111" s="165"/>
      <c r="AB111" s="186"/>
      <c r="AC111" s="166"/>
    </row>
    <row r="112" spans="2:29">
      <c r="W112" s="165"/>
      <c r="X112" s="165"/>
      <c r="Y112" s="165"/>
      <c r="Z112" s="165"/>
      <c r="AA112" s="165"/>
      <c r="AB112" s="186"/>
      <c r="AC112" s="166"/>
    </row>
    <row r="113" spans="23:29">
      <c r="W113" s="165"/>
      <c r="X113" s="165"/>
      <c r="Y113" s="165"/>
      <c r="Z113" s="165"/>
      <c r="AA113" s="165"/>
      <c r="AB113" s="186"/>
      <c r="AC113" s="166"/>
    </row>
    <row r="114" spans="23:29">
      <c r="W114" s="165"/>
      <c r="X114" s="165"/>
      <c r="Y114" s="165"/>
      <c r="Z114" s="165"/>
      <c r="AA114" s="165"/>
      <c r="AB114" s="186"/>
      <c r="AC114" s="166"/>
    </row>
    <row r="115" spans="23:29">
      <c r="W115" s="165"/>
      <c r="X115" s="165"/>
      <c r="Y115" s="165"/>
      <c r="Z115" s="165"/>
      <c r="AA115" s="165"/>
      <c r="AB115" s="186"/>
      <c r="AC115" s="166"/>
    </row>
    <row r="116" spans="23:29">
      <c r="W116" s="165"/>
      <c r="X116" s="165"/>
      <c r="Y116" s="165"/>
      <c r="Z116" s="165"/>
      <c r="AA116" s="165"/>
      <c r="AB116" s="186"/>
      <c r="AC116" s="166"/>
    </row>
    <row r="117" spans="23:29">
      <c r="W117" s="165"/>
      <c r="X117" s="165"/>
      <c r="Y117" s="165"/>
      <c r="Z117" s="165"/>
      <c r="AA117" s="165"/>
      <c r="AB117" s="186"/>
      <c r="AC117" s="166"/>
    </row>
    <row r="118" spans="23:29">
      <c r="W118" s="165"/>
      <c r="X118" s="165"/>
      <c r="Y118" s="165"/>
      <c r="Z118" s="165"/>
      <c r="AA118" s="165"/>
      <c r="AB118" s="186"/>
      <c r="AC118" s="166"/>
    </row>
    <row r="119" spans="23:29">
      <c r="W119" s="165"/>
      <c r="X119" s="165"/>
      <c r="Y119" s="165"/>
      <c r="Z119" s="165"/>
      <c r="AA119" s="165"/>
      <c r="AB119" s="186"/>
      <c r="AC119" s="166"/>
    </row>
    <row r="120" spans="23:29">
      <c r="W120" s="165"/>
      <c r="X120" s="165"/>
      <c r="Y120" s="165"/>
      <c r="Z120" s="165"/>
      <c r="AA120" s="165"/>
      <c r="AB120" s="186"/>
      <c r="AC120" s="166"/>
    </row>
    <row r="121" spans="23:29">
      <c r="W121" s="165"/>
      <c r="X121" s="165"/>
      <c r="Y121" s="165"/>
      <c r="Z121" s="165"/>
      <c r="AA121" s="165"/>
      <c r="AB121" s="186"/>
      <c r="AC121" s="166"/>
    </row>
    <row r="122" spans="23:29">
      <c r="W122" s="165"/>
      <c r="X122" s="165"/>
      <c r="Y122" s="165"/>
      <c r="Z122" s="165"/>
      <c r="AA122" s="165"/>
      <c r="AB122" s="186"/>
      <c r="AC122" s="166"/>
    </row>
    <row r="123" spans="23:29">
      <c r="W123" s="165"/>
      <c r="X123" s="165"/>
      <c r="Y123" s="165"/>
      <c r="Z123" s="165"/>
      <c r="AA123" s="165"/>
      <c r="AB123" s="186"/>
      <c r="AC123" s="166"/>
    </row>
    <row r="124" spans="23:29">
      <c r="W124" s="165"/>
      <c r="X124" s="165"/>
      <c r="Y124" s="165"/>
      <c r="Z124" s="165"/>
      <c r="AA124" s="165"/>
      <c r="AB124" s="186"/>
      <c r="AC124" s="166"/>
    </row>
    <row r="125" spans="23:29">
      <c r="W125" s="165"/>
      <c r="X125" s="165"/>
      <c r="Y125" s="165"/>
      <c r="Z125" s="165"/>
      <c r="AA125" s="165"/>
      <c r="AB125" s="186"/>
      <c r="AC125" s="166"/>
    </row>
    <row r="126" spans="23:29">
      <c r="W126" s="165"/>
      <c r="X126" s="165"/>
      <c r="Y126" s="165"/>
      <c r="Z126" s="165"/>
      <c r="AA126" s="165"/>
      <c r="AB126" s="186"/>
      <c r="AC126" s="166"/>
    </row>
    <row r="127" spans="23:29">
      <c r="W127" s="165"/>
      <c r="X127" s="165"/>
      <c r="Y127" s="165"/>
      <c r="Z127" s="165"/>
      <c r="AA127" s="165"/>
      <c r="AB127" s="186"/>
      <c r="AC127" s="166"/>
    </row>
    <row r="128" spans="23:29">
      <c r="W128" s="165"/>
      <c r="X128" s="165"/>
      <c r="Y128" s="165"/>
      <c r="Z128" s="165"/>
      <c r="AA128" s="165"/>
      <c r="AB128" s="186"/>
      <c r="AC128" s="166"/>
    </row>
    <row r="129" spans="23:29">
      <c r="W129" s="165"/>
      <c r="X129" s="165"/>
      <c r="Y129" s="165"/>
      <c r="Z129" s="165"/>
      <c r="AA129" s="165"/>
      <c r="AB129" s="186"/>
      <c r="AC129" s="166"/>
    </row>
    <row r="130" spans="23:29">
      <c r="W130" s="165"/>
      <c r="X130" s="165"/>
      <c r="Y130" s="165"/>
      <c r="Z130" s="165"/>
      <c r="AA130" s="165"/>
      <c r="AB130" s="186"/>
      <c r="AC130" s="166"/>
    </row>
    <row r="131" spans="23:29">
      <c r="W131" s="165"/>
      <c r="X131" s="165"/>
      <c r="Y131" s="165"/>
      <c r="Z131" s="165"/>
      <c r="AA131" s="165"/>
      <c r="AB131" s="186"/>
      <c r="AC131" s="166"/>
    </row>
    <row r="132" spans="23:29">
      <c r="W132" s="165"/>
      <c r="X132" s="165"/>
      <c r="Y132" s="165"/>
      <c r="Z132" s="165"/>
      <c r="AA132" s="165"/>
      <c r="AB132" s="186"/>
      <c r="AC132" s="166"/>
    </row>
    <row r="133" spans="23:29">
      <c r="W133" s="165"/>
      <c r="X133" s="165"/>
      <c r="Y133" s="165"/>
      <c r="Z133" s="165"/>
      <c r="AA133" s="165"/>
      <c r="AB133" s="186"/>
      <c r="AC133" s="166"/>
    </row>
    <row r="134" spans="23:29">
      <c r="W134" s="165"/>
      <c r="X134" s="165"/>
      <c r="Y134" s="165"/>
      <c r="Z134" s="165"/>
      <c r="AA134" s="165"/>
      <c r="AB134" s="186"/>
      <c r="AC134" s="166"/>
    </row>
    <row r="135" spans="23:29">
      <c r="W135" s="165"/>
      <c r="X135" s="165"/>
      <c r="Y135" s="165"/>
      <c r="Z135" s="165"/>
      <c r="AA135" s="165"/>
      <c r="AB135" s="186"/>
      <c r="AC135" s="166"/>
    </row>
    <row r="136" spans="23:29">
      <c r="W136" s="165"/>
      <c r="X136" s="165"/>
      <c r="Y136" s="165"/>
      <c r="Z136" s="165"/>
      <c r="AA136" s="165"/>
      <c r="AB136" s="186"/>
      <c r="AC136" s="166"/>
    </row>
    <row r="137" spans="23:29">
      <c r="W137" s="165"/>
      <c r="X137" s="165"/>
      <c r="Y137" s="165"/>
      <c r="Z137" s="165"/>
      <c r="AA137" s="165"/>
      <c r="AB137" s="186"/>
      <c r="AC137" s="166"/>
    </row>
    <row r="138" spans="23:29">
      <c r="W138" s="165"/>
      <c r="X138" s="165"/>
      <c r="Y138" s="165"/>
      <c r="Z138" s="165"/>
      <c r="AA138" s="165"/>
      <c r="AB138" s="186"/>
      <c r="AC138" s="166"/>
    </row>
    <row r="139" spans="23:29">
      <c r="W139" s="165"/>
      <c r="X139" s="165"/>
      <c r="Y139" s="165"/>
      <c r="Z139" s="165"/>
      <c r="AA139" s="165"/>
      <c r="AB139" s="186"/>
      <c r="AC139" s="166"/>
    </row>
    <row r="140" spans="23:29">
      <c r="W140" s="165"/>
      <c r="X140" s="165"/>
      <c r="Y140" s="165"/>
      <c r="Z140" s="165"/>
      <c r="AA140" s="165"/>
      <c r="AB140" s="186"/>
      <c r="AC140" s="166"/>
    </row>
    <row r="141" spans="23:29">
      <c r="W141" s="165"/>
      <c r="X141" s="165"/>
      <c r="Y141" s="165"/>
      <c r="Z141" s="165"/>
      <c r="AA141" s="165"/>
      <c r="AB141" s="186"/>
      <c r="AC141" s="166"/>
    </row>
    <row r="142" spans="23:29">
      <c r="W142" s="165"/>
      <c r="X142" s="165"/>
      <c r="Y142" s="165"/>
      <c r="Z142" s="165"/>
      <c r="AA142" s="165"/>
      <c r="AB142" s="186"/>
      <c r="AC142" s="166"/>
    </row>
    <row r="143" spans="23:29">
      <c r="W143" s="165"/>
      <c r="X143" s="165"/>
      <c r="Y143" s="165"/>
      <c r="Z143" s="165"/>
      <c r="AA143" s="165"/>
      <c r="AB143" s="186"/>
      <c r="AC143" s="166"/>
    </row>
    <row r="144" spans="23:29">
      <c r="W144" s="165"/>
      <c r="X144" s="165"/>
      <c r="Y144" s="165"/>
      <c r="Z144" s="165"/>
      <c r="AA144" s="165"/>
      <c r="AB144" s="186"/>
      <c r="AC144" s="166"/>
    </row>
    <row r="145" spans="23:29">
      <c r="W145" s="165"/>
      <c r="X145" s="165"/>
      <c r="Y145" s="165"/>
      <c r="Z145" s="165"/>
      <c r="AA145" s="165"/>
      <c r="AB145" s="186"/>
      <c r="AC145" s="166"/>
    </row>
    <row r="146" spans="23:29">
      <c r="W146" s="165"/>
      <c r="X146" s="165"/>
      <c r="Y146" s="165"/>
      <c r="Z146" s="165"/>
      <c r="AA146" s="165"/>
      <c r="AB146" s="186"/>
      <c r="AC146" s="166"/>
    </row>
    <row r="147" spans="23:29">
      <c r="W147" s="165"/>
      <c r="X147" s="165"/>
      <c r="Y147" s="165"/>
      <c r="Z147" s="165"/>
      <c r="AA147" s="165"/>
      <c r="AB147" s="186"/>
      <c r="AC147" s="166"/>
    </row>
    <row r="148" spans="23:29">
      <c r="W148" s="165"/>
      <c r="X148" s="165"/>
      <c r="Y148" s="165"/>
      <c r="Z148" s="165"/>
      <c r="AA148" s="165"/>
      <c r="AB148" s="186"/>
      <c r="AC148" s="166"/>
    </row>
    <row r="149" spans="23:29">
      <c r="W149" s="165"/>
      <c r="X149" s="165"/>
      <c r="Y149" s="165"/>
      <c r="Z149" s="165"/>
      <c r="AA149" s="165"/>
      <c r="AB149" s="186"/>
      <c r="AC149" s="166"/>
    </row>
    <row r="150" spans="23:29">
      <c r="W150" s="165"/>
      <c r="X150" s="165"/>
      <c r="Y150" s="165"/>
      <c r="Z150" s="165"/>
      <c r="AA150" s="165"/>
      <c r="AB150" s="186"/>
      <c r="AC150" s="166"/>
    </row>
    <row r="151" spans="23:29">
      <c r="W151" s="165"/>
      <c r="X151" s="165"/>
      <c r="Y151" s="165"/>
      <c r="Z151" s="165"/>
      <c r="AA151" s="165"/>
      <c r="AB151" s="186"/>
      <c r="AC151" s="166"/>
    </row>
    <row r="152" spans="23:29">
      <c r="W152" s="165"/>
      <c r="X152" s="165"/>
      <c r="Y152" s="165"/>
      <c r="Z152" s="165"/>
      <c r="AA152" s="165"/>
      <c r="AB152" s="186"/>
      <c r="AC152" s="166"/>
    </row>
    <row r="153" spans="23:29">
      <c r="W153" s="165"/>
      <c r="X153" s="165"/>
      <c r="Y153" s="165"/>
      <c r="Z153" s="165"/>
      <c r="AA153" s="165"/>
      <c r="AB153" s="186"/>
      <c r="AC153" s="166"/>
    </row>
    <row r="154" spans="23:29">
      <c r="W154" s="165"/>
      <c r="X154" s="165"/>
      <c r="Y154" s="165"/>
      <c r="Z154" s="165"/>
      <c r="AA154" s="165"/>
      <c r="AB154" s="186"/>
      <c r="AC154" s="166"/>
    </row>
    <row r="155" spans="23:29">
      <c r="W155" s="165"/>
      <c r="X155" s="165"/>
      <c r="Y155" s="165"/>
      <c r="Z155" s="165"/>
      <c r="AA155" s="165"/>
      <c r="AB155" s="186"/>
      <c r="AC155" s="166"/>
    </row>
    <row r="156" spans="23:29">
      <c r="W156" s="165"/>
      <c r="X156" s="165"/>
      <c r="Y156" s="165"/>
      <c r="Z156" s="165"/>
      <c r="AA156" s="165"/>
      <c r="AB156" s="186"/>
      <c r="AC156" s="166"/>
    </row>
    <row r="157" spans="23:29">
      <c r="W157" s="165"/>
      <c r="X157" s="165"/>
      <c r="Y157" s="165"/>
      <c r="Z157" s="165"/>
      <c r="AA157" s="165"/>
      <c r="AB157" s="186"/>
      <c r="AC157" s="166"/>
    </row>
    <row r="158" spans="23:29">
      <c r="W158" s="165"/>
      <c r="X158" s="165"/>
      <c r="Y158" s="165"/>
      <c r="Z158" s="165"/>
      <c r="AA158" s="165"/>
      <c r="AB158" s="186"/>
      <c r="AC158" s="166"/>
    </row>
    <row r="159" spans="23:29">
      <c r="W159" s="165"/>
      <c r="X159" s="165"/>
      <c r="Y159" s="165"/>
      <c r="Z159" s="165"/>
      <c r="AA159" s="165"/>
      <c r="AB159" s="186"/>
      <c r="AC159" s="166"/>
    </row>
    <row r="160" spans="23:29">
      <c r="W160" s="165"/>
      <c r="X160" s="165"/>
      <c r="Y160" s="165"/>
      <c r="Z160" s="165"/>
      <c r="AA160" s="165"/>
      <c r="AB160" s="186"/>
      <c r="AC160" s="166"/>
    </row>
    <row r="161" spans="23:29">
      <c r="W161" s="165"/>
      <c r="X161" s="165"/>
      <c r="Y161" s="165"/>
      <c r="Z161" s="165"/>
      <c r="AA161" s="165"/>
      <c r="AB161" s="186"/>
      <c r="AC161" s="166"/>
    </row>
    <row r="162" spans="23:29">
      <c r="W162" s="165"/>
      <c r="X162" s="165"/>
      <c r="Y162" s="165"/>
      <c r="Z162" s="165"/>
      <c r="AA162" s="165"/>
      <c r="AB162" s="186"/>
      <c r="AC162" s="166"/>
    </row>
    <row r="163" spans="23:29">
      <c r="W163" s="165"/>
      <c r="X163" s="165"/>
      <c r="Y163" s="165"/>
      <c r="Z163" s="165"/>
      <c r="AA163" s="165"/>
      <c r="AB163" s="186"/>
      <c r="AC163" s="166"/>
    </row>
    <row r="164" spans="23:29">
      <c r="W164" s="165"/>
      <c r="X164" s="165"/>
      <c r="Y164" s="165"/>
      <c r="Z164" s="165"/>
      <c r="AA164" s="165"/>
      <c r="AB164" s="186"/>
      <c r="AC164" s="166"/>
    </row>
    <row r="165" spans="23:29">
      <c r="W165" s="165"/>
      <c r="X165" s="165"/>
      <c r="Y165" s="165"/>
      <c r="Z165" s="165"/>
      <c r="AA165" s="165"/>
      <c r="AB165" s="186"/>
      <c r="AC165" s="166"/>
    </row>
    <row r="166" spans="23:29">
      <c r="W166" s="165"/>
      <c r="X166" s="165"/>
      <c r="Y166" s="165"/>
      <c r="Z166" s="165"/>
      <c r="AA166" s="165"/>
      <c r="AB166" s="186"/>
      <c r="AC166" s="166"/>
    </row>
    <row r="167" spans="23:29">
      <c r="W167" s="165"/>
      <c r="X167" s="165"/>
      <c r="Y167" s="165"/>
      <c r="Z167" s="165"/>
      <c r="AA167" s="165"/>
      <c r="AB167" s="186"/>
      <c r="AC167" s="166"/>
    </row>
    <row r="168" spans="23:29">
      <c r="W168" s="165"/>
      <c r="X168" s="165"/>
      <c r="Y168" s="165"/>
      <c r="Z168" s="165"/>
      <c r="AA168" s="165"/>
      <c r="AB168" s="186"/>
      <c r="AC168" s="166"/>
    </row>
    <row r="169" spans="23:29">
      <c r="W169" s="165"/>
      <c r="X169" s="165"/>
      <c r="Y169" s="165"/>
      <c r="Z169" s="165"/>
      <c r="AA169" s="165"/>
      <c r="AB169" s="186"/>
      <c r="AC169" s="166"/>
    </row>
    <row r="170" spans="23:29">
      <c r="W170" s="165"/>
      <c r="X170" s="165"/>
      <c r="Y170" s="165"/>
      <c r="Z170" s="165"/>
      <c r="AA170" s="165"/>
      <c r="AB170" s="186"/>
      <c r="AC170" s="166"/>
    </row>
    <row r="171" spans="23:29">
      <c r="W171" s="165"/>
      <c r="X171" s="165"/>
      <c r="Y171" s="165"/>
      <c r="Z171" s="165"/>
      <c r="AA171" s="165"/>
      <c r="AB171" s="186"/>
      <c r="AC171" s="166"/>
    </row>
    <row r="172" spans="23:29">
      <c r="W172" s="165"/>
      <c r="X172" s="165"/>
      <c r="Y172" s="165"/>
      <c r="Z172" s="165"/>
      <c r="AA172" s="165"/>
      <c r="AB172" s="186"/>
      <c r="AC172" s="166"/>
    </row>
    <row r="173" spans="23:29">
      <c r="W173" s="165"/>
      <c r="X173" s="165"/>
      <c r="Y173" s="165"/>
      <c r="Z173" s="165"/>
      <c r="AA173" s="165"/>
      <c r="AB173" s="186"/>
      <c r="AC173" s="166"/>
    </row>
    <row r="174" spans="23:29">
      <c r="W174" s="165"/>
      <c r="X174" s="165"/>
      <c r="Y174" s="165"/>
      <c r="Z174" s="165"/>
      <c r="AA174" s="165"/>
      <c r="AB174" s="186"/>
      <c r="AC174" s="166"/>
    </row>
    <row r="175" spans="23:29">
      <c r="W175" s="165"/>
      <c r="X175" s="165"/>
      <c r="Y175" s="165"/>
      <c r="Z175" s="165"/>
      <c r="AA175" s="165"/>
      <c r="AB175" s="186"/>
      <c r="AC175" s="166"/>
    </row>
    <row r="176" spans="23:29">
      <c r="W176" s="165"/>
      <c r="X176" s="165"/>
      <c r="Y176" s="165"/>
      <c r="Z176" s="165"/>
      <c r="AA176" s="165"/>
      <c r="AB176" s="186"/>
      <c r="AC176" s="166"/>
    </row>
    <row r="177" spans="23:29">
      <c r="W177" s="165"/>
      <c r="X177" s="165"/>
      <c r="Y177" s="165"/>
      <c r="Z177" s="165"/>
      <c r="AA177" s="165"/>
      <c r="AB177" s="186"/>
      <c r="AC177" s="166"/>
    </row>
    <row r="178" spans="23:29">
      <c r="W178" s="165"/>
      <c r="X178" s="165"/>
      <c r="Y178" s="165"/>
      <c r="Z178" s="165"/>
      <c r="AA178" s="165"/>
      <c r="AB178" s="186"/>
      <c r="AC178" s="166"/>
    </row>
    <row r="179" spans="23:29">
      <c r="W179" s="165"/>
      <c r="X179" s="165"/>
      <c r="Y179" s="165"/>
      <c r="Z179" s="165"/>
      <c r="AA179" s="165"/>
      <c r="AB179" s="186"/>
      <c r="AC179" s="166"/>
    </row>
    <row r="180" spans="23:29">
      <c r="W180" s="165"/>
      <c r="X180" s="165"/>
      <c r="Y180" s="165"/>
      <c r="Z180" s="165"/>
      <c r="AA180" s="165"/>
      <c r="AB180" s="186"/>
      <c r="AC180" s="166"/>
    </row>
    <row r="181" spans="23:29">
      <c r="W181" s="165"/>
      <c r="X181" s="165"/>
      <c r="Y181" s="165"/>
      <c r="Z181" s="165"/>
      <c r="AA181" s="165"/>
      <c r="AB181" s="186"/>
      <c r="AC181" s="166"/>
    </row>
    <row r="182" spans="23:29">
      <c r="W182" s="165"/>
      <c r="X182" s="165"/>
      <c r="Y182" s="165"/>
      <c r="Z182" s="165"/>
      <c r="AA182" s="165"/>
      <c r="AB182" s="186"/>
      <c r="AC182" s="166"/>
    </row>
    <row r="183" spans="23:29">
      <c r="W183" s="165"/>
      <c r="X183" s="165"/>
      <c r="Y183" s="165"/>
      <c r="Z183" s="165"/>
      <c r="AA183" s="165"/>
      <c r="AB183" s="186"/>
      <c r="AC183" s="166"/>
    </row>
    <row r="184" spans="23:29">
      <c r="W184" s="165"/>
      <c r="X184" s="165"/>
      <c r="Y184" s="165"/>
      <c r="Z184" s="165"/>
      <c r="AA184" s="165"/>
      <c r="AB184" s="186"/>
      <c r="AC184" s="166"/>
    </row>
    <row r="185" spans="23:29">
      <c r="W185" s="165"/>
      <c r="X185" s="165"/>
      <c r="Y185" s="165"/>
      <c r="Z185" s="165"/>
      <c r="AA185" s="165"/>
      <c r="AB185" s="186"/>
      <c r="AC185" s="166"/>
    </row>
    <row r="186" spans="23:29">
      <c r="W186" s="165"/>
      <c r="X186" s="165"/>
      <c r="Y186" s="165"/>
      <c r="Z186" s="165"/>
      <c r="AA186" s="165"/>
      <c r="AB186" s="186"/>
      <c r="AC186" s="166"/>
    </row>
    <row r="187" spans="23:29">
      <c r="W187" s="165"/>
      <c r="X187" s="165"/>
      <c r="Y187" s="165"/>
      <c r="Z187" s="165"/>
      <c r="AA187" s="165"/>
      <c r="AB187" s="186"/>
      <c r="AC187" s="166"/>
    </row>
    <row r="188" spans="23:29">
      <c r="W188" s="165"/>
      <c r="X188" s="165"/>
      <c r="Y188" s="165"/>
      <c r="Z188" s="165"/>
      <c r="AA188" s="165"/>
      <c r="AB188" s="186"/>
      <c r="AC188" s="166"/>
    </row>
    <row r="189" spans="23:29">
      <c r="W189" s="165"/>
      <c r="X189" s="165"/>
      <c r="Y189" s="165"/>
      <c r="Z189" s="165"/>
      <c r="AA189" s="165"/>
      <c r="AB189" s="186"/>
      <c r="AC189" s="166"/>
    </row>
    <row r="190" spans="23:29">
      <c r="W190" s="165"/>
      <c r="X190" s="165"/>
      <c r="Y190" s="165"/>
      <c r="Z190" s="165"/>
      <c r="AA190" s="165"/>
      <c r="AB190" s="186"/>
      <c r="AC190" s="166"/>
    </row>
    <row r="191" spans="23:29">
      <c r="W191" s="165"/>
      <c r="X191" s="165"/>
      <c r="Y191" s="165"/>
      <c r="Z191" s="165"/>
      <c r="AA191" s="165"/>
      <c r="AB191" s="186"/>
      <c r="AC191" s="166"/>
    </row>
    <row r="192" spans="23:29">
      <c r="W192" s="165"/>
      <c r="X192" s="165"/>
      <c r="Y192" s="165"/>
      <c r="Z192" s="165"/>
      <c r="AA192" s="165"/>
      <c r="AB192" s="186"/>
      <c r="AC192" s="166"/>
    </row>
    <row r="193" spans="23:29">
      <c r="W193" s="165"/>
      <c r="X193" s="165"/>
      <c r="Y193" s="165"/>
      <c r="Z193" s="165"/>
      <c r="AA193" s="165"/>
      <c r="AB193" s="186"/>
      <c r="AC193" s="166"/>
    </row>
    <row r="194" spans="23:29">
      <c r="W194" s="165"/>
      <c r="X194" s="165"/>
      <c r="Y194" s="165"/>
      <c r="Z194" s="165"/>
      <c r="AA194" s="165"/>
      <c r="AB194" s="186"/>
      <c r="AC194" s="166"/>
    </row>
    <row r="195" spans="23:29">
      <c r="W195" s="165"/>
      <c r="X195" s="165"/>
      <c r="Y195" s="165"/>
      <c r="Z195" s="165"/>
      <c r="AA195" s="165"/>
      <c r="AB195" s="186"/>
      <c r="AC195" s="166"/>
    </row>
    <row r="196" spans="23:29">
      <c r="W196" s="165"/>
      <c r="X196" s="165"/>
      <c r="Y196" s="165"/>
      <c r="Z196" s="165"/>
      <c r="AA196" s="165"/>
      <c r="AB196" s="186"/>
      <c r="AC196" s="166"/>
    </row>
    <row r="197" spans="23:29">
      <c r="W197" s="165"/>
      <c r="X197" s="165"/>
      <c r="Y197" s="165"/>
      <c r="Z197" s="165"/>
      <c r="AA197" s="165"/>
      <c r="AB197" s="186"/>
      <c r="AC197" s="166"/>
    </row>
  </sheetData>
  <mergeCells count="216">
    <mergeCell ref="M80:M82"/>
    <mergeCell ref="N80:N82"/>
    <mergeCell ref="P80:P82"/>
    <mergeCell ref="Q80:Q82"/>
    <mergeCell ref="Z83:Z84"/>
    <mergeCell ref="AB83:AB84"/>
    <mergeCell ref="E83:E84"/>
    <mergeCell ref="G83:G84"/>
    <mergeCell ref="L83:L84"/>
    <mergeCell ref="N83:N84"/>
    <mergeCell ref="S83:S84"/>
    <mergeCell ref="U83:U84"/>
    <mergeCell ref="Z78:Z79"/>
    <mergeCell ref="AB78:AB79"/>
    <mergeCell ref="B80:B82"/>
    <mergeCell ref="C80:C82"/>
    <mergeCell ref="D80:D82"/>
    <mergeCell ref="E80:E82"/>
    <mergeCell ref="F80:F82"/>
    <mergeCell ref="G80:G82"/>
    <mergeCell ref="I80:I82"/>
    <mergeCell ref="J80:J82"/>
    <mergeCell ref="E78:E79"/>
    <mergeCell ref="G78:G79"/>
    <mergeCell ref="L78:L79"/>
    <mergeCell ref="N78:N79"/>
    <mergeCell ref="S78:S79"/>
    <mergeCell ref="U78:U79"/>
    <mergeCell ref="R80:R82"/>
    <mergeCell ref="S80:S82"/>
    <mergeCell ref="T80:T82"/>
    <mergeCell ref="U80:U82"/>
    <mergeCell ref="Z80:Z82"/>
    <mergeCell ref="AB80:AB82"/>
    <mergeCell ref="K80:K82"/>
    <mergeCell ref="L80:L82"/>
    <mergeCell ref="Z62:Z64"/>
    <mergeCell ref="AB62:AB64"/>
    <mergeCell ref="E65:E66"/>
    <mergeCell ref="G65:G66"/>
    <mergeCell ref="L65:L66"/>
    <mergeCell ref="N65:N66"/>
    <mergeCell ref="S65:S66"/>
    <mergeCell ref="U65:U66"/>
    <mergeCell ref="Z65:Z66"/>
    <mergeCell ref="AB65:AB66"/>
    <mergeCell ref="P62:P64"/>
    <mergeCell ref="Q62:Q64"/>
    <mergeCell ref="R62:R64"/>
    <mergeCell ref="S62:S64"/>
    <mergeCell ref="T62:T64"/>
    <mergeCell ref="U62:U64"/>
    <mergeCell ref="I62:I64"/>
    <mergeCell ref="J62:J64"/>
    <mergeCell ref="K62:K64"/>
    <mergeCell ref="L62:L64"/>
    <mergeCell ref="M62:M64"/>
    <mergeCell ref="N62:N64"/>
    <mergeCell ref="Z47:Z48"/>
    <mergeCell ref="AB47:AB48"/>
    <mergeCell ref="E60:E61"/>
    <mergeCell ref="G60:G61"/>
    <mergeCell ref="L60:L61"/>
    <mergeCell ref="N60:N61"/>
    <mergeCell ref="S60:S61"/>
    <mergeCell ref="U60:U61"/>
    <mergeCell ref="Z60:Z61"/>
    <mergeCell ref="AB60:AB61"/>
    <mergeCell ref="E47:E48"/>
    <mergeCell ref="G47:G48"/>
    <mergeCell ref="L47:L48"/>
    <mergeCell ref="N47:N48"/>
    <mergeCell ref="S47:S48"/>
    <mergeCell ref="U47:U48"/>
    <mergeCell ref="M44:M46"/>
    <mergeCell ref="N44:N46"/>
    <mergeCell ref="P44:P46"/>
    <mergeCell ref="Q44:Q46"/>
    <mergeCell ref="B62:B64"/>
    <mergeCell ref="C62:C64"/>
    <mergeCell ref="D62:D64"/>
    <mergeCell ref="E62:E64"/>
    <mergeCell ref="F62:F64"/>
    <mergeCell ref="G62:G64"/>
    <mergeCell ref="Z42:Z43"/>
    <mergeCell ref="AB42:AB43"/>
    <mergeCell ref="B44:B46"/>
    <mergeCell ref="C44:C46"/>
    <mergeCell ref="D44:D46"/>
    <mergeCell ref="E44:E46"/>
    <mergeCell ref="F44:F46"/>
    <mergeCell ref="G44:G46"/>
    <mergeCell ref="I44:I46"/>
    <mergeCell ref="J44:J46"/>
    <mergeCell ref="E42:E43"/>
    <mergeCell ref="G42:G43"/>
    <mergeCell ref="L42:L43"/>
    <mergeCell ref="N42:N43"/>
    <mergeCell ref="S42:S43"/>
    <mergeCell ref="U42:U43"/>
    <mergeCell ref="R44:R46"/>
    <mergeCell ref="S44:S46"/>
    <mergeCell ref="T44:T46"/>
    <mergeCell ref="U44:U46"/>
    <mergeCell ref="Z44:Z46"/>
    <mergeCell ref="AB44:AB46"/>
    <mergeCell ref="K44:K46"/>
    <mergeCell ref="L44:L46"/>
    <mergeCell ref="Z26:Z28"/>
    <mergeCell ref="AB26:AB28"/>
    <mergeCell ref="E29:E30"/>
    <mergeCell ref="G29:G30"/>
    <mergeCell ref="L29:L30"/>
    <mergeCell ref="N29:N30"/>
    <mergeCell ref="S29:S30"/>
    <mergeCell ref="U29:U30"/>
    <mergeCell ref="Z29:Z30"/>
    <mergeCell ref="AB29:AB30"/>
    <mergeCell ref="P26:P28"/>
    <mergeCell ref="Q26:Q28"/>
    <mergeCell ref="R26:R28"/>
    <mergeCell ref="S26:S28"/>
    <mergeCell ref="T26:T28"/>
    <mergeCell ref="U26:U28"/>
    <mergeCell ref="I26:I28"/>
    <mergeCell ref="J26:J28"/>
    <mergeCell ref="K26:K28"/>
    <mergeCell ref="L26:L28"/>
    <mergeCell ref="M26:M28"/>
    <mergeCell ref="N26:N28"/>
    <mergeCell ref="Z10:Z11"/>
    <mergeCell ref="AB10:AB11"/>
    <mergeCell ref="E24:E25"/>
    <mergeCell ref="G24:G25"/>
    <mergeCell ref="L24:L25"/>
    <mergeCell ref="N24:N25"/>
    <mergeCell ref="S24:S25"/>
    <mergeCell ref="U24:U25"/>
    <mergeCell ref="Z24:Z25"/>
    <mergeCell ref="AB24:AB25"/>
    <mergeCell ref="E10:E11"/>
    <mergeCell ref="G10:G11"/>
    <mergeCell ref="L10:L11"/>
    <mergeCell ref="N10:N11"/>
    <mergeCell ref="S10:S11"/>
    <mergeCell ref="U10:U11"/>
    <mergeCell ref="M7:M9"/>
    <mergeCell ref="N7:N9"/>
    <mergeCell ref="P7:P9"/>
    <mergeCell ref="Q7:Q9"/>
    <mergeCell ref="B26:B28"/>
    <mergeCell ref="C26:C28"/>
    <mergeCell ref="D26:D28"/>
    <mergeCell ref="E26:E28"/>
    <mergeCell ref="F26:F28"/>
    <mergeCell ref="G26:G28"/>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K7:K9"/>
    <mergeCell ref="L7:L9"/>
    <mergeCell ref="E96:E97"/>
    <mergeCell ref="G96:G97"/>
    <mergeCell ref="B98:B100"/>
    <mergeCell ref="C98:C100"/>
    <mergeCell ref="D98:D100"/>
    <mergeCell ref="E98:E100"/>
    <mergeCell ref="F98:F100"/>
    <mergeCell ref="G98:G100"/>
    <mergeCell ref="E101:E102"/>
    <mergeCell ref="G101:G102"/>
    <mergeCell ref="I98:I100"/>
    <mergeCell ref="J98:J100"/>
    <mergeCell ref="K98:K100"/>
    <mergeCell ref="L98:L100"/>
    <mergeCell ref="M98:M100"/>
    <mergeCell ref="N98:N100"/>
    <mergeCell ref="P98:P100"/>
    <mergeCell ref="Q98:Q100"/>
    <mergeCell ref="R98:R100"/>
    <mergeCell ref="L101:L102"/>
    <mergeCell ref="N101:N102"/>
    <mergeCell ref="S101:S102"/>
    <mergeCell ref="U101:U102"/>
    <mergeCell ref="Z101:Z102"/>
    <mergeCell ref="AB101:AB102"/>
    <mergeCell ref="L96:L97"/>
    <mergeCell ref="N96:N97"/>
    <mergeCell ref="S96:S97"/>
    <mergeCell ref="U96:U97"/>
    <mergeCell ref="Z96:Z97"/>
    <mergeCell ref="AB96:AB97"/>
    <mergeCell ref="S98:S100"/>
    <mergeCell ref="T98:T100"/>
    <mergeCell ref="U98:U100"/>
    <mergeCell ref="Z98:Z100"/>
    <mergeCell ref="AB98:AB100"/>
  </mergeCells>
  <pageMargins left="0.7" right="0.7" top="0.75" bottom="0.75" header="0.3" footer="0.3"/>
  <pageSetup paperSize="8" orientation="portrait" r:id="rId1"/>
  <rowBreaks count="1" manualBreakCount="1">
    <brk id="55" max="6"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D116"/>
  <sheetViews>
    <sheetView workbookViewId="0">
      <selection activeCell="D1" sqref="D1"/>
    </sheetView>
  </sheetViews>
  <sheetFormatPr defaultColWidth="9.28515625" defaultRowHeight="15"/>
  <cols>
    <col min="1" max="1" width="3.42578125" style="68" customWidth="1"/>
    <col min="2" max="9" width="9.28515625" style="68"/>
    <col min="10" max="10" width="3.42578125" style="68" customWidth="1"/>
    <col min="11" max="11" width="9.28515625" style="69" customWidth="1"/>
    <col min="12" max="18" width="9.28515625" style="68" customWidth="1"/>
    <col min="19" max="19" width="3.42578125" style="68" customWidth="1"/>
    <col min="20" max="27" width="9.28515625" style="68" customWidth="1"/>
    <col min="28" max="28" width="3.42578125" style="68" customWidth="1"/>
    <col min="29" max="36" width="9.28515625" style="68" customWidth="1"/>
    <col min="37" max="37" width="3.42578125" style="68" customWidth="1"/>
    <col min="38" max="47" width="9.28515625" style="68" customWidth="1"/>
    <col min="48" max="50" width="9.28515625" style="68"/>
    <col min="51" max="51" width="9.28515625" style="74"/>
    <col min="52" max="55" width="10" style="74" customWidth="1"/>
    <col min="56" max="16384" width="9.28515625" style="68"/>
  </cols>
  <sheetData>
    <row r="1" spans="2:56" s="67" customFormat="1" ht="35.25" customHeight="1">
      <c r="B1" s="73" t="s">
        <v>63</v>
      </c>
      <c r="K1" s="453"/>
      <c r="L1" s="453"/>
      <c r="M1" s="453"/>
      <c r="N1" s="453"/>
      <c r="O1" s="453"/>
      <c r="P1" s="453"/>
      <c r="Q1" s="453"/>
      <c r="R1" s="453"/>
      <c r="S1" s="453"/>
      <c r="T1" s="453"/>
      <c r="U1" s="453"/>
      <c r="V1" s="453"/>
      <c r="W1" s="453"/>
      <c r="X1" s="453"/>
      <c r="AY1" s="73"/>
      <c r="AZ1" s="73"/>
      <c r="BA1" s="73"/>
      <c r="BB1" s="73"/>
      <c r="BC1" s="73"/>
    </row>
    <row r="2" spans="2:56" s="67" customFormat="1" ht="35.25" hidden="1">
      <c r="K2" s="453"/>
      <c r="L2" s="453"/>
      <c r="M2" s="453"/>
      <c r="N2" s="453"/>
      <c r="O2" s="453"/>
      <c r="P2" s="453"/>
      <c r="Q2" s="453"/>
      <c r="R2" s="453"/>
      <c r="S2" s="453"/>
      <c r="T2" s="453"/>
      <c r="U2" s="453"/>
      <c r="V2" s="453"/>
      <c r="W2" s="453"/>
      <c r="X2" s="453"/>
      <c r="AY2" s="73"/>
      <c r="AZ2" s="73"/>
      <c r="BA2" s="73"/>
      <c r="BB2" s="73"/>
      <c r="BC2" s="73"/>
    </row>
    <row r="3" spans="2:56" s="67" customFormat="1" ht="35.25" hidden="1">
      <c r="K3" s="453"/>
      <c r="L3" s="453"/>
      <c r="M3" s="453"/>
      <c r="N3" s="453"/>
      <c r="O3" s="453"/>
      <c r="P3" s="453"/>
      <c r="Q3" s="453"/>
      <c r="R3" s="453"/>
      <c r="S3" s="453"/>
      <c r="T3" s="453"/>
      <c r="U3" s="453"/>
      <c r="V3" s="453"/>
      <c r="W3" s="453"/>
      <c r="X3" s="453"/>
      <c r="AY3" s="73"/>
      <c r="AZ3" s="73"/>
      <c r="BA3" s="73"/>
      <c r="BB3" s="73"/>
      <c r="BC3" s="73"/>
    </row>
    <row r="4" spans="2:56">
      <c r="N4" s="70"/>
      <c r="W4" s="70"/>
      <c r="AF4" s="70"/>
      <c r="AO4" s="70"/>
    </row>
    <row r="5" spans="2:56">
      <c r="AY5" s="75" t="s">
        <v>202</v>
      </c>
      <c r="AZ5" s="76"/>
      <c r="BA5" s="76"/>
      <c r="BB5" s="76"/>
      <c r="BC5" s="76"/>
      <c r="BD5" s="69"/>
    </row>
    <row r="6" spans="2:56">
      <c r="AY6" s="77"/>
      <c r="AZ6" s="78" t="s">
        <v>13</v>
      </c>
      <c r="BA6" s="78" t="s">
        <v>14</v>
      </c>
      <c r="BB6" s="78" t="s">
        <v>15</v>
      </c>
      <c r="BC6" s="78" t="s">
        <v>12</v>
      </c>
      <c r="BD6" s="69"/>
    </row>
    <row r="7" spans="2:56">
      <c r="AY7" s="79" t="s">
        <v>55</v>
      </c>
      <c r="AZ7" s="80">
        <f>'3a. % by Portfolio'!G5</f>
        <v>0.94444444444444442</v>
      </c>
      <c r="BA7" s="80">
        <f>'3a. % by Portfolio'!N5</f>
        <v>0.95454545454545459</v>
      </c>
      <c r="BB7" s="80">
        <f>'3a. % by Portfolio'!U5</f>
        <v>0.95652173913043481</v>
      </c>
      <c r="BC7" s="80">
        <f>'3a. % by Portfolio'!AB5</f>
        <v>0.91304347826086951</v>
      </c>
      <c r="BD7" s="69"/>
    </row>
    <row r="8" spans="2:56">
      <c r="L8" s="71"/>
      <c r="M8" s="71"/>
      <c r="AY8" s="79" t="s">
        <v>56</v>
      </c>
      <c r="AZ8" s="80">
        <f>'3a. % by Portfolio'!G7</f>
        <v>5.5555555555555552E-2</v>
      </c>
      <c r="BA8" s="80">
        <f>'3a. % by Portfolio'!N7</f>
        <v>0</v>
      </c>
      <c r="BB8" s="80">
        <f>'3a. % by Portfolio'!U7</f>
        <v>0</v>
      </c>
      <c r="BC8" s="80">
        <f>'3a. % by Portfolio'!AB7</f>
        <v>0</v>
      </c>
      <c r="BD8" s="69"/>
    </row>
    <row r="9" spans="2:56">
      <c r="L9" s="71"/>
      <c r="M9" s="71"/>
      <c r="AY9" s="79" t="s">
        <v>57</v>
      </c>
      <c r="AZ9" s="80">
        <f>'3a. % by Portfolio'!G10</f>
        <v>0</v>
      </c>
      <c r="BA9" s="80">
        <f>'3a. % by Portfolio'!N10</f>
        <v>4.5454545454545456E-2</v>
      </c>
      <c r="BB9" s="80">
        <f>'3a. % by Portfolio'!U10</f>
        <v>4.3478260869565216E-2</v>
      </c>
      <c r="BC9" s="80">
        <f>'3a. % by Portfolio'!AB10</f>
        <v>8.6956521739130432E-2</v>
      </c>
      <c r="BD9" s="69"/>
    </row>
    <row r="10" spans="2:56">
      <c r="L10" s="71"/>
      <c r="M10" s="71"/>
      <c r="AY10" s="77"/>
      <c r="AZ10" s="81"/>
      <c r="BA10" s="81"/>
      <c r="BB10" s="81"/>
      <c r="BC10" s="81"/>
      <c r="BD10" s="69"/>
    </row>
    <row r="11" spans="2:56">
      <c r="AY11" s="82"/>
      <c r="AZ11" s="83"/>
      <c r="BA11" s="83"/>
      <c r="BB11" s="83"/>
      <c r="BC11" s="83"/>
      <c r="BD11" s="69"/>
    </row>
    <row r="12" spans="2:56">
      <c r="AY12" s="82"/>
      <c r="AZ12" s="83"/>
      <c r="BA12" s="83"/>
      <c r="BB12" s="83"/>
      <c r="BC12" s="83"/>
      <c r="BD12" s="69"/>
    </row>
    <row r="13" spans="2:56">
      <c r="AY13" s="82"/>
      <c r="AZ13" s="83"/>
      <c r="BA13" s="83"/>
      <c r="BB13" s="83"/>
      <c r="BC13" s="83"/>
      <c r="BD13" s="69"/>
    </row>
    <row r="14" spans="2:56">
      <c r="AY14" s="76"/>
      <c r="AZ14" s="76"/>
      <c r="BA14" s="76"/>
      <c r="BB14" s="76"/>
      <c r="BC14" s="76"/>
      <c r="BD14" s="69"/>
    </row>
    <row r="15" spans="2:56">
      <c r="AY15" s="76"/>
      <c r="AZ15" s="76"/>
      <c r="BA15" s="76"/>
      <c r="BB15" s="76"/>
      <c r="BC15" s="76"/>
      <c r="BD15" s="69"/>
    </row>
    <row r="16" spans="2:56">
      <c r="AY16" s="76"/>
      <c r="AZ16" s="76"/>
      <c r="BA16" s="76"/>
      <c r="BB16" s="76"/>
      <c r="BC16" s="76"/>
      <c r="BD16" s="69"/>
    </row>
    <row r="17" spans="12:56">
      <c r="AY17" s="76"/>
      <c r="AZ17" s="76"/>
      <c r="BA17" s="76"/>
      <c r="BB17" s="76"/>
      <c r="BC17" s="76"/>
      <c r="BD17" s="69"/>
    </row>
    <row r="18" spans="12:56">
      <c r="AY18" s="76"/>
      <c r="AZ18" s="76"/>
      <c r="BA18" s="76"/>
      <c r="BB18" s="76"/>
      <c r="BC18" s="76"/>
      <c r="BD18" s="69"/>
    </row>
    <row r="19" spans="12:56">
      <c r="AY19" s="76"/>
      <c r="AZ19" s="76"/>
      <c r="BA19" s="76"/>
      <c r="BB19" s="76"/>
      <c r="BC19" s="76"/>
      <c r="BD19" s="69"/>
    </row>
    <row r="20" spans="12:56">
      <c r="N20" s="70"/>
      <c r="W20" s="70"/>
      <c r="AF20" s="70"/>
      <c r="AO20" s="70"/>
      <c r="AY20" s="76"/>
      <c r="AZ20" s="76"/>
      <c r="BA20" s="76"/>
      <c r="BB20" s="76"/>
      <c r="BC20" s="76"/>
      <c r="BD20" s="69"/>
    </row>
    <row r="21" spans="12:56">
      <c r="AY21" s="75" t="s">
        <v>110</v>
      </c>
      <c r="AZ21" s="76"/>
      <c r="BA21" s="76"/>
      <c r="BB21" s="76"/>
      <c r="BC21" s="76"/>
      <c r="BD21" s="69"/>
    </row>
    <row r="22" spans="12:56">
      <c r="AY22" s="77"/>
      <c r="AZ22" s="78" t="s">
        <v>13</v>
      </c>
      <c r="BA22" s="78" t="s">
        <v>14</v>
      </c>
      <c r="BB22" s="78" t="s">
        <v>15</v>
      </c>
      <c r="BC22" s="78" t="s">
        <v>12</v>
      </c>
      <c r="BD22" s="69"/>
    </row>
    <row r="23" spans="12:56">
      <c r="AY23" s="79" t="s">
        <v>55</v>
      </c>
      <c r="AZ23" s="80">
        <f>'3a. % by Portfolio'!G24</f>
        <v>0.83333333333333326</v>
      </c>
      <c r="BA23" s="80">
        <f>'3a. % by Portfolio'!N24</f>
        <v>0.90322580645161288</v>
      </c>
      <c r="BB23" s="80">
        <f>'3a. % by Portfolio'!U24</f>
        <v>0.90909090909090917</v>
      </c>
      <c r="BC23" s="80">
        <f>'3a. % by Portfolio'!AB24</f>
        <v>0.91176470588235292</v>
      </c>
      <c r="BD23" s="69"/>
    </row>
    <row r="24" spans="12:56">
      <c r="L24" s="71"/>
      <c r="M24" s="71"/>
      <c r="AY24" s="79" t="s">
        <v>56</v>
      </c>
      <c r="AZ24" s="80">
        <f>'3a. % by Portfolio'!G26</f>
        <v>0.16666666666666666</v>
      </c>
      <c r="BA24" s="80">
        <f>'3a. % by Portfolio'!N26</f>
        <v>6.4516129032258063E-2</v>
      </c>
      <c r="BB24" s="80">
        <f>'3a. % by Portfolio'!U26</f>
        <v>6.0606060606060608E-2</v>
      </c>
      <c r="BC24" s="80">
        <f>'3a. % by Portfolio'!AB26</f>
        <v>2.9411764705882353E-2</v>
      </c>
      <c r="BD24" s="69"/>
    </row>
    <row r="25" spans="12:56">
      <c r="L25" s="71"/>
      <c r="M25" s="71"/>
      <c r="AY25" s="79" t="s">
        <v>57</v>
      </c>
      <c r="AZ25" s="80">
        <f>'3a. % by Portfolio'!G29</f>
        <v>0</v>
      </c>
      <c r="BA25" s="80">
        <f>'3a. % by Portfolio'!N29</f>
        <v>3.2258064516129031E-2</v>
      </c>
      <c r="BB25" s="80">
        <f>'3a. % by Portfolio'!U29</f>
        <v>3.0303030303030304E-2</v>
      </c>
      <c r="BC25" s="80">
        <f>'3a. % by Portfolio'!AB29</f>
        <v>5.8823529411764705E-2</v>
      </c>
      <c r="BD25" s="69"/>
    </row>
    <row r="26" spans="12:56">
      <c r="L26" s="71"/>
      <c r="M26" s="71"/>
      <c r="AY26" s="76"/>
      <c r="AZ26" s="76"/>
      <c r="BA26" s="76"/>
      <c r="BB26" s="76"/>
      <c r="BC26" s="76"/>
      <c r="BD26" s="69"/>
    </row>
    <row r="27" spans="12:56">
      <c r="AY27" s="82"/>
      <c r="AZ27" s="76"/>
      <c r="BA27" s="76"/>
      <c r="BB27" s="76"/>
      <c r="BC27" s="76"/>
      <c r="BD27" s="69"/>
    </row>
    <row r="28" spans="12:56">
      <c r="AY28" s="82"/>
      <c r="AZ28" s="76"/>
      <c r="BA28" s="76"/>
      <c r="BB28" s="76"/>
      <c r="BC28" s="76"/>
      <c r="BD28" s="69"/>
    </row>
    <row r="29" spans="12:56">
      <c r="AY29" s="82"/>
      <c r="AZ29" s="76"/>
      <c r="BA29" s="76"/>
      <c r="BB29" s="76"/>
      <c r="BC29" s="76"/>
      <c r="BD29" s="69"/>
    </row>
    <row r="30" spans="12:56">
      <c r="AY30" s="76"/>
      <c r="AZ30" s="76"/>
      <c r="BA30" s="76"/>
      <c r="BB30" s="76"/>
      <c r="BC30" s="76"/>
      <c r="BD30" s="69"/>
    </row>
    <row r="31" spans="12:56">
      <c r="AY31" s="76"/>
      <c r="AZ31" s="76"/>
      <c r="BA31" s="76"/>
      <c r="BB31" s="76"/>
      <c r="BC31" s="76"/>
      <c r="BD31" s="69"/>
    </row>
    <row r="32" spans="12:56">
      <c r="AY32" s="76"/>
      <c r="AZ32" s="76"/>
      <c r="BA32" s="76"/>
      <c r="BB32" s="76"/>
      <c r="BC32" s="76"/>
      <c r="BD32" s="69"/>
    </row>
    <row r="33" spans="11:56">
      <c r="AY33" s="76"/>
      <c r="AZ33" s="76"/>
      <c r="BA33" s="76"/>
      <c r="BB33" s="76"/>
      <c r="BC33" s="76"/>
      <c r="BD33" s="69"/>
    </row>
    <row r="34" spans="11:56">
      <c r="AY34" s="76"/>
      <c r="AZ34" s="76"/>
      <c r="BA34" s="76"/>
      <c r="BB34" s="76"/>
      <c r="BC34" s="76"/>
      <c r="BD34" s="69"/>
    </row>
    <row r="35" spans="11:56">
      <c r="AY35" s="76"/>
      <c r="AZ35" s="76"/>
      <c r="BA35" s="76"/>
      <c r="BB35" s="76"/>
      <c r="BC35" s="76"/>
      <c r="BD35" s="69"/>
    </row>
    <row r="36" spans="11:56">
      <c r="N36" s="70"/>
      <c r="W36" s="70"/>
      <c r="AF36" s="70"/>
      <c r="AO36" s="70"/>
      <c r="AY36" s="76"/>
      <c r="AZ36" s="76"/>
      <c r="BA36" s="76"/>
      <c r="BB36" s="76"/>
      <c r="BC36" s="76"/>
      <c r="BD36" s="69"/>
    </row>
    <row r="37" spans="11:56">
      <c r="AY37" s="75" t="s">
        <v>204</v>
      </c>
      <c r="AZ37" s="84"/>
      <c r="BA37" s="84"/>
      <c r="BB37" s="84"/>
      <c r="BC37" s="84"/>
      <c r="BD37" s="72"/>
    </row>
    <row r="38" spans="11:56">
      <c r="AY38" s="85"/>
      <c r="AZ38" s="78" t="s">
        <v>13</v>
      </c>
      <c r="BA38" s="78" t="s">
        <v>14</v>
      </c>
      <c r="BB38" s="78" t="s">
        <v>15</v>
      </c>
      <c r="BC38" s="78" t="s">
        <v>12</v>
      </c>
      <c r="BD38" s="72"/>
    </row>
    <row r="39" spans="11:56">
      <c r="AY39" s="79" t="s">
        <v>55</v>
      </c>
      <c r="AZ39" s="80">
        <f>'3a. % by Portfolio'!G42</f>
        <v>1</v>
      </c>
      <c r="BA39" s="80">
        <f>'3a. % by Portfolio'!N42</f>
        <v>1</v>
      </c>
      <c r="BB39" s="80">
        <f>'3a. % by Portfolio'!U42</f>
        <v>1</v>
      </c>
      <c r="BC39" s="80">
        <f>'3a. % by Portfolio'!AB42</f>
        <v>1</v>
      </c>
      <c r="BD39" s="72"/>
    </row>
    <row r="40" spans="11:56">
      <c r="K40" s="71"/>
      <c r="L40" s="71"/>
      <c r="AY40" s="79" t="s">
        <v>56</v>
      </c>
      <c r="AZ40" s="80">
        <f>'3a. % by Portfolio'!G44</f>
        <v>0</v>
      </c>
      <c r="BA40" s="80">
        <f>'3a. % by Portfolio'!N44</f>
        <v>0</v>
      </c>
      <c r="BB40" s="80">
        <f>'3a. % by Portfolio'!U44</f>
        <v>0</v>
      </c>
      <c r="BC40" s="80">
        <f>'3a. % by Portfolio'!AB44</f>
        <v>0</v>
      </c>
      <c r="BD40" s="72"/>
    </row>
    <row r="41" spans="11:56">
      <c r="K41" s="71"/>
      <c r="L41" s="71"/>
      <c r="AY41" s="79" t="s">
        <v>57</v>
      </c>
      <c r="AZ41" s="80">
        <f>'3a. % by Portfolio'!G47</f>
        <v>0</v>
      </c>
      <c r="BA41" s="80">
        <f>'3a. % by Portfolio'!N47</f>
        <v>0</v>
      </c>
      <c r="BB41" s="80">
        <f>'3a. % by Portfolio'!U47</f>
        <v>0</v>
      </c>
      <c r="BC41" s="80">
        <f>'3a. % by Portfolio'!AB47</f>
        <v>0</v>
      </c>
      <c r="BD41" s="72"/>
    </row>
    <row r="42" spans="11:56">
      <c r="K42" s="71"/>
      <c r="L42" s="71"/>
      <c r="AY42" s="76"/>
      <c r="AZ42" s="76"/>
      <c r="BA42" s="76"/>
      <c r="BB42" s="76"/>
      <c r="BC42" s="76"/>
      <c r="BD42" s="69"/>
    </row>
    <row r="43" spans="11:56">
      <c r="AY43" s="82"/>
      <c r="AZ43" s="76"/>
      <c r="BA43" s="76"/>
      <c r="BB43" s="76"/>
      <c r="BC43" s="76"/>
      <c r="BD43" s="69"/>
    </row>
    <row r="44" spans="11:56">
      <c r="AY44" s="82"/>
      <c r="AZ44" s="76"/>
      <c r="BA44" s="76"/>
      <c r="BB44" s="76"/>
      <c r="BC44" s="76"/>
      <c r="BD44" s="69"/>
    </row>
    <row r="45" spans="11:56">
      <c r="AY45" s="82"/>
      <c r="AZ45" s="76"/>
      <c r="BA45" s="76"/>
      <c r="BB45" s="76"/>
      <c r="BC45" s="76"/>
      <c r="BD45" s="69"/>
    </row>
    <row r="46" spans="11:56">
      <c r="AY46" s="76"/>
      <c r="AZ46" s="76"/>
      <c r="BA46" s="76"/>
      <c r="BB46" s="76"/>
      <c r="BC46" s="76"/>
      <c r="BD46" s="69"/>
    </row>
    <row r="47" spans="11:56">
      <c r="AY47" s="76"/>
      <c r="AZ47" s="76"/>
      <c r="BA47" s="76"/>
      <c r="BB47" s="76"/>
      <c r="BC47" s="76"/>
      <c r="BD47" s="69"/>
    </row>
    <row r="48" spans="11:56">
      <c r="AY48" s="76"/>
      <c r="AZ48" s="76"/>
      <c r="BA48" s="76"/>
      <c r="BB48" s="76"/>
      <c r="BC48" s="76"/>
      <c r="BD48" s="69"/>
    </row>
    <row r="49" spans="12:56">
      <c r="AY49" s="76"/>
      <c r="AZ49" s="76"/>
      <c r="BA49" s="76"/>
      <c r="BB49" s="76"/>
      <c r="BC49" s="76"/>
      <c r="BD49" s="69"/>
    </row>
    <row r="50" spans="12:56">
      <c r="AY50" s="76"/>
      <c r="AZ50" s="76"/>
      <c r="BA50" s="76"/>
      <c r="BB50" s="76"/>
      <c r="BC50" s="76"/>
      <c r="BD50" s="69"/>
    </row>
    <row r="51" spans="12:56">
      <c r="AY51" s="76"/>
      <c r="AZ51" s="76"/>
      <c r="BA51" s="76"/>
      <c r="BB51" s="76"/>
      <c r="BC51" s="76"/>
      <c r="BD51" s="69"/>
    </row>
    <row r="52" spans="12:56">
      <c r="N52" s="70"/>
      <c r="W52" s="70"/>
      <c r="AF52" s="70"/>
      <c r="AO52" s="70"/>
      <c r="AY52" s="76"/>
      <c r="AZ52" s="76"/>
      <c r="BA52" s="76"/>
      <c r="BB52" s="76"/>
      <c r="BC52" s="76"/>
      <c r="BD52" s="69"/>
    </row>
    <row r="53" spans="12:56">
      <c r="AY53" s="75" t="s">
        <v>414</v>
      </c>
      <c r="AZ53" s="84"/>
      <c r="BA53" s="84"/>
      <c r="BB53" s="84"/>
      <c r="BC53" s="84"/>
      <c r="BD53" s="69"/>
    </row>
    <row r="54" spans="12:56">
      <c r="AY54" s="85"/>
      <c r="AZ54" s="78" t="s">
        <v>13</v>
      </c>
      <c r="BA54" s="78" t="s">
        <v>14</v>
      </c>
      <c r="BB54" s="78" t="s">
        <v>15</v>
      </c>
      <c r="BC54" s="78" t="s">
        <v>12</v>
      </c>
      <c r="BD54" s="69"/>
    </row>
    <row r="55" spans="12:56">
      <c r="AY55" s="79" t="s">
        <v>55</v>
      </c>
      <c r="AZ55" s="80">
        <f>'3a. % by Portfolio'!G60</f>
        <v>1</v>
      </c>
      <c r="BA55" s="80">
        <f>'3a. % by Portfolio'!N60</f>
        <v>1</v>
      </c>
      <c r="BB55" s="80">
        <f>'3a. % by Portfolio'!U60</f>
        <v>1</v>
      </c>
      <c r="BC55" s="80">
        <f>'3a. % by Portfolio'!AB60</f>
        <v>1</v>
      </c>
      <c r="BD55" s="69"/>
    </row>
    <row r="56" spans="12:56">
      <c r="L56" s="71"/>
      <c r="M56" s="71"/>
      <c r="AY56" s="79" t="s">
        <v>56</v>
      </c>
      <c r="AZ56" s="80">
        <f>'3a. % by Portfolio'!G62</f>
        <v>0</v>
      </c>
      <c r="BA56" s="80">
        <f>'3a. % by Portfolio'!N62</f>
        <v>0</v>
      </c>
      <c r="BB56" s="80">
        <f>'3a. % by Portfolio'!U62</f>
        <v>0</v>
      </c>
      <c r="BC56" s="80">
        <f>'3a. % by Portfolio'!AB62</f>
        <v>0</v>
      </c>
      <c r="BD56" s="69"/>
    </row>
    <row r="57" spans="12:56">
      <c r="L57" s="71"/>
      <c r="M57" s="71"/>
      <c r="AY57" s="79" t="s">
        <v>57</v>
      </c>
      <c r="AZ57" s="80">
        <f>'3a. % by Portfolio'!G65</f>
        <v>0</v>
      </c>
      <c r="BA57" s="80">
        <f>'3a. % by Portfolio'!N65</f>
        <v>0</v>
      </c>
      <c r="BB57" s="80">
        <f>'3a. % by Portfolio'!U65</f>
        <v>0</v>
      </c>
      <c r="BC57" s="80">
        <f>'3a. % by Portfolio'!AB65</f>
        <v>0</v>
      </c>
      <c r="BD57" s="69"/>
    </row>
    <row r="58" spans="12:56">
      <c r="L58" s="71"/>
      <c r="M58" s="71"/>
      <c r="AY58" s="76"/>
      <c r="AZ58" s="76"/>
      <c r="BA58" s="76"/>
      <c r="BB58" s="76"/>
      <c r="BC58" s="76"/>
      <c r="BD58" s="69"/>
    </row>
    <row r="59" spans="12:56">
      <c r="AY59" s="82"/>
      <c r="AZ59" s="76"/>
      <c r="BA59" s="76"/>
      <c r="BB59" s="76"/>
      <c r="BC59" s="76"/>
      <c r="BD59" s="69"/>
    </row>
    <row r="60" spans="12:56">
      <c r="AY60" s="82"/>
      <c r="AZ60" s="76"/>
      <c r="BA60" s="76"/>
      <c r="BB60" s="76"/>
      <c r="BC60" s="76"/>
      <c r="BD60" s="69"/>
    </row>
    <row r="61" spans="12:56">
      <c r="AY61" s="82"/>
      <c r="AZ61" s="76"/>
      <c r="BA61" s="76"/>
      <c r="BB61" s="76"/>
      <c r="BC61" s="76"/>
      <c r="BD61" s="69"/>
    </row>
    <row r="62" spans="12:56">
      <c r="AY62" s="76"/>
      <c r="AZ62" s="76"/>
      <c r="BA62" s="76"/>
      <c r="BB62" s="76"/>
      <c r="BC62" s="76"/>
      <c r="BD62" s="69"/>
    </row>
    <row r="63" spans="12:56">
      <c r="AY63" s="76"/>
      <c r="AZ63" s="76"/>
      <c r="BA63" s="76"/>
      <c r="BB63" s="76"/>
      <c r="BC63" s="76"/>
      <c r="BD63" s="69"/>
    </row>
    <row r="64" spans="12:56">
      <c r="AY64" s="76"/>
      <c r="AZ64" s="76"/>
      <c r="BA64" s="76"/>
      <c r="BB64" s="76"/>
      <c r="BC64" s="76"/>
      <c r="BD64" s="69"/>
    </row>
    <row r="65" spans="14:56">
      <c r="AY65" s="76"/>
      <c r="AZ65" s="76"/>
      <c r="BA65" s="76"/>
      <c r="BB65" s="76"/>
      <c r="BC65" s="76"/>
      <c r="BD65" s="69"/>
    </row>
    <row r="66" spans="14:56">
      <c r="AY66" s="76"/>
      <c r="AZ66" s="76"/>
      <c r="BA66" s="76"/>
      <c r="BB66" s="76"/>
      <c r="BC66" s="76"/>
      <c r="BD66" s="69"/>
    </row>
    <row r="68" spans="14:56">
      <c r="N68" s="70"/>
      <c r="W68" s="70"/>
      <c r="AF68" s="70"/>
      <c r="AO68" s="70"/>
      <c r="AY68" s="76"/>
      <c r="AZ68" s="76"/>
      <c r="BA68" s="76"/>
      <c r="BB68" s="76"/>
      <c r="BC68" s="76"/>
      <c r="BD68" s="69"/>
    </row>
    <row r="69" spans="14:56">
      <c r="AY69" s="75" t="s">
        <v>201</v>
      </c>
      <c r="AZ69" s="84"/>
      <c r="BA69" s="84"/>
      <c r="BB69" s="84"/>
      <c r="BC69" s="84"/>
    </row>
    <row r="70" spans="14:56">
      <c r="AY70" s="85"/>
      <c r="AZ70" s="78" t="s">
        <v>13</v>
      </c>
      <c r="BA70" s="78" t="s">
        <v>14</v>
      </c>
      <c r="BB70" s="78" t="s">
        <v>15</v>
      </c>
      <c r="BC70" s="78" t="s">
        <v>12</v>
      </c>
    </row>
    <row r="71" spans="14:56">
      <c r="AY71" s="79" t="s">
        <v>55</v>
      </c>
      <c r="AZ71" s="80">
        <f>'3a. % by Portfolio'!G78</f>
        <v>0.88888888888888884</v>
      </c>
      <c r="BA71" s="80">
        <f>'3a. % by Portfolio'!N78</f>
        <v>0.90909090909090906</v>
      </c>
      <c r="BB71" s="80">
        <f>'3a. % by Portfolio'!U78</f>
        <v>0.86956521739130432</v>
      </c>
      <c r="BC71" s="80">
        <f>'3a. % by Portfolio'!AB78</f>
        <v>0.91666666666666674</v>
      </c>
    </row>
    <row r="72" spans="14:56">
      <c r="AY72" s="79" t="s">
        <v>56</v>
      </c>
      <c r="AZ72" s="80">
        <f>'3a. % by Portfolio'!G80</f>
        <v>0.1111111111111111</v>
      </c>
      <c r="BA72" s="80">
        <f>'3a. % by Portfolio'!N80</f>
        <v>0</v>
      </c>
      <c r="BB72" s="80">
        <f>'3a. % by Portfolio'!U80</f>
        <v>4.3478260869565216E-2</v>
      </c>
      <c r="BC72" s="80">
        <f>'3a. % by Portfolio'!AB80</f>
        <v>4.1666666666666664E-2</v>
      </c>
    </row>
    <row r="73" spans="14:56">
      <c r="AY73" s="79" t="s">
        <v>57</v>
      </c>
      <c r="AZ73" s="80">
        <f>'3a. % by Portfolio'!G83</f>
        <v>0</v>
      </c>
      <c r="BA73" s="80">
        <f>'3a. % by Portfolio'!N83</f>
        <v>9.0909090909090912E-2</v>
      </c>
      <c r="BB73" s="80">
        <f>'3a. % by Portfolio'!U83</f>
        <v>8.6956521739130432E-2</v>
      </c>
      <c r="BC73" s="80">
        <f>'3a. % by Portfolio'!AB83</f>
        <v>4.1666666666666664E-2</v>
      </c>
    </row>
    <row r="84" spans="14:56">
      <c r="N84" s="70"/>
      <c r="W84" s="70"/>
      <c r="AF84" s="70"/>
      <c r="AO84" s="70"/>
    </row>
    <row r="85" spans="14:56">
      <c r="AY85" s="75" t="s">
        <v>109</v>
      </c>
      <c r="AZ85" s="84"/>
      <c r="BA85" s="84"/>
      <c r="BB85" s="84"/>
      <c r="BC85" s="84"/>
    </row>
    <row r="86" spans="14:56">
      <c r="AY86" s="85"/>
      <c r="AZ86" s="78" t="s">
        <v>13</v>
      </c>
      <c r="BA86" s="78" t="s">
        <v>14</v>
      </c>
      <c r="BB86" s="78" t="s">
        <v>15</v>
      </c>
      <c r="BC86" s="78" t="s">
        <v>12</v>
      </c>
    </row>
    <row r="87" spans="14:56">
      <c r="AY87" s="79" t="s">
        <v>55</v>
      </c>
      <c r="AZ87" s="80">
        <f>'3a. % by Portfolio'!G96</f>
        <v>1</v>
      </c>
      <c r="BA87" s="80">
        <f>'3a. % by Portfolio'!N96</f>
        <v>0.95</v>
      </c>
      <c r="BB87" s="80">
        <f>'3a. % by Portfolio'!U96</f>
        <v>0.95</v>
      </c>
      <c r="BC87" s="80">
        <f>'3a. % by Portfolio'!AB96</f>
        <v>0.95238095238095233</v>
      </c>
    </row>
    <row r="88" spans="14:56">
      <c r="AY88" s="79" t="s">
        <v>56</v>
      </c>
      <c r="AZ88" s="80">
        <f>'3a. % by Portfolio'!G98</f>
        <v>0</v>
      </c>
      <c r="BA88" s="80">
        <f>'3a. % by Portfolio'!N98</f>
        <v>0</v>
      </c>
      <c r="BB88" s="80">
        <f>'3a. % by Portfolio'!U98</f>
        <v>0</v>
      </c>
      <c r="BC88" s="80">
        <f>'3a. % by Portfolio'!AB98</f>
        <v>0</v>
      </c>
    </row>
    <row r="89" spans="14:56">
      <c r="AY89" s="79" t="s">
        <v>57</v>
      </c>
      <c r="AZ89" s="80">
        <f>'3a. % by Portfolio'!G101</f>
        <v>0</v>
      </c>
      <c r="BA89" s="80">
        <f>'3a. % by Portfolio'!N101</f>
        <v>0.05</v>
      </c>
      <c r="BB89" s="80">
        <f>'3a. % by Portfolio'!U101</f>
        <v>0.05</v>
      </c>
      <c r="BC89" s="80">
        <f>'3a. % by Portfolio'!AB101</f>
        <v>4.7619047619047616E-2</v>
      </c>
    </row>
    <row r="95" spans="14:56">
      <c r="AY95" s="86"/>
      <c r="AZ95" s="86"/>
      <c r="BA95" s="86"/>
      <c r="BB95" s="86"/>
      <c r="BC95" s="86"/>
      <c r="BD95" s="87"/>
    </row>
    <row r="96" spans="14:56">
      <c r="AY96" s="86"/>
      <c r="AZ96" s="86"/>
      <c r="BA96" s="86"/>
      <c r="BB96" s="86"/>
      <c r="BC96" s="86"/>
      <c r="BD96" s="87"/>
    </row>
    <row r="97" spans="14:56">
      <c r="AY97" s="86"/>
      <c r="AZ97" s="86"/>
      <c r="BA97" s="86"/>
      <c r="BB97" s="86"/>
      <c r="BC97" s="86"/>
      <c r="BD97" s="87"/>
    </row>
    <row r="98" spans="14:56">
      <c r="AY98" s="86"/>
      <c r="AZ98" s="86"/>
      <c r="BA98" s="86"/>
      <c r="BB98" s="86"/>
      <c r="BC98" s="86"/>
      <c r="BD98" s="87"/>
    </row>
    <row r="99" spans="14:56">
      <c r="AY99" s="86"/>
      <c r="AZ99" s="86"/>
      <c r="BA99" s="86"/>
      <c r="BB99" s="86"/>
      <c r="BC99" s="86"/>
      <c r="BD99" s="87"/>
    </row>
    <row r="100" spans="14:56">
      <c r="N100" s="70"/>
      <c r="W100" s="70"/>
      <c r="AF100" s="70"/>
      <c r="AO100" s="70"/>
      <c r="AY100" s="86"/>
      <c r="AZ100" s="86"/>
      <c r="BA100" s="86"/>
      <c r="BB100" s="86"/>
      <c r="BC100" s="86"/>
      <c r="BD100" s="87"/>
    </row>
    <row r="101" spans="14:56">
      <c r="AY101" s="88"/>
      <c r="AZ101" s="85"/>
      <c r="BA101" s="85"/>
      <c r="BB101" s="85"/>
      <c r="BC101" s="85"/>
      <c r="BD101" s="87"/>
    </row>
    <row r="102" spans="14:56">
      <c r="AY102" s="85"/>
      <c r="AZ102" s="81"/>
      <c r="BA102" s="81"/>
      <c r="BB102" s="81"/>
      <c r="BC102" s="81"/>
      <c r="BD102" s="87"/>
    </row>
    <row r="103" spans="14:56">
      <c r="AY103" s="85"/>
      <c r="AZ103" s="83"/>
      <c r="BA103" s="83"/>
      <c r="BB103" s="83"/>
      <c r="BC103" s="83"/>
      <c r="BD103" s="87"/>
    </row>
    <row r="104" spans="14:56">
      <c r="AY104" s="85"/>
      <c r="AZ104" s="83"/>
      <c r="BA104" s="83"/>
      <c r="BB104" s="83"/>
      <c r="BC104" s="83"/>
      <c r="BD104" s="87"/>
    </row>
    <row r="105" spans="14:56">
      <c r="AY105" s="85"/>
      <c r="AZ105" s="83"/>
      <c r="BA105" s="83"/>
      <c r="BB105" s="83"/>
      <c r="BC105" s="83"/>
      <c r="BD105" s="87"/>
    </row>
    <row r="106" spans="14:56">
      <c r="AY106" s="86"/>
      <c r="AZ106" s="86"/>
      <c r="BA106" s="86"/>
      <c r="BB106" s="86"/>
      <c r="BC106" s="86"/>
      <c r="BD106" s="87"/>
    </row>
    <row r="116" spans="14:41">
      <c r="N116" s="70" t="s">
        <v>50</v>
      </c>
      <c r="W116" s="70" t="s">
        <v>50</v>
      </c>
      <c r="AF116" s="70" t="s">
        <v>50</v>
      </c>
      <c r="AO116" s="70" t="s">
        <v>50</v>
      </c>
    </row>
  </sheetData>
  <sheetProtection algorithmName="SHA-512" hashValue="GWcRMoY39yh15LXY2DuC0qIPyo9do9brC4efnyDbm5F3pEhQ0y2OmJSttxocfpFfdCbABlrGGFA+DwOvOTrsZg==" saltValue="Hro1Mxce4Lp8XtirqwvIlw==" spinCount="100000" sheet="1" objects="1" scenarios="1"/>
  <mergeCells count="1">
    <mergeCell ref="K1:X3"/>
  </mergeCells>
  <hyperlinks>
    <hyperlink ref="N116" location="INDEX!A1" display="Back to index"/>
    <hyperlink ref="W116" location="INDEX!A1" display="Back to index"/>
    <hyperlink ref="AF116" location="INDEX!A1" display="Back to index"/>
    <hyperlink ref="AO116" location="INDEX!A1" display="Back to index"/>
  </hyperlinks>
  <pageMargins left="0.25" right="0.25" top="0.75" bottom="0.75" header="0.3" footer="0.3"/>
  <pageSetup paperSize="8" scale="51" orientation="landscape" r:id="rId1"/>
  <colBreaks count="1" manualBreakCount="1">
    <brk id="46" max="11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1. All Data</vt:lpstr>
      <vt:lpstr>Q1 Summary</vt:lpstr>
      <vt:lpstr>Q2 Summary</vt:lpstr>
      <vt:lpstr>Q3 Summary</vt:lpstr>
      <vt:lpstr>Q4 Summary</vt:lpstr>
      <vt:lpstr>2a. % By Priority</vt:lpstr>
      <vt:lpstr>2b. Charts by Priority</vt:lpstr>
      <vt:lpstr>3a. % by Portfolio</vt:lpstr>
      <vt:lpstr>3b. Charts by Portfolio</vt:lpstr>
      <vt:lpstr>4. Status Tracking</vt:lpstr>
      <vt:lpstr>Custom Pivot</vt:lpstr>
      <vt:lpstr>'1. All Data'!_Toc382250483</vt:lpstr>
      <vt:lpstr>'1. All Data'!OLE_LINK3</vt:lpstr>
      <vt:lpstr>'1. All Data'!Print_Area</vt:lpstr>
      <vt:lpstr>'2a. % By Priority'!Print_Area</vt:lpstr>
      <vt:lpstr>'2b. Charts by Priority'!Print_Area</vt:lpstr>
      <vt:lpstr>'3a. % by Portfolio'!Print_Area</vt:lpstr>
      <vt:lpstr>'3b. Charts by Portfolio'!Print_Area</vt:lpstr>
      <vt:lpstr>'Q1 Summary'!Print_Area</vt:lpstr>
      <vt:lpstr>'Q2 Summary'!Print_Area</vt:lpstr>
      <vt:lpstr>'Q3 Summary'!Print_Area</vt:lpstr>
      <vt:lpstr>'Q4 Summary'!Print_Area</vt:lpstr>
      <vt:lpstr>'1. All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James Abbott</cp:lastModifiedBy>
  <cp:lastPrinted>2023-07-05T18:47:41Z</cp:lastPrinted>
  <dcterms:created xsi:type="dcterms:W3CDTF">2019-02-13T13:28:16Z</dcterms:created>
  <dcterms:modified xsi:type="dcterms:W3CDTF">2024-05-17T14:38:22Z</dcterms:modified>
</cp:coreProperties>
</file>